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agcoregon-my.sharepoint.com/personal/nathant_agc-oregon_org/Documents/Documents/Nathan's Docs/2024 PRIDE Docs - Uploaded 2 Teams 04.23.2024/2024 PRIDE Excel Sheets/2024 PRIDE Stats App/"/>
    </mc:Choice>
  </mc:AlternateContent>
  <xr:revisionPtr revIDLastSave="2" documentId="8_{A9F0158E-4E91-40DE-B8A7-622586D67313}" xr6:coauthVersionLast="47" xr6:coauthVersionMax="47" xr10:uidLastSave="{F4BA705C-61C9-4ED2-A82F-0E4685065C6F}"/>
  <workbookProtection workbookAlgorithmName="SHA-512" workbookHashValue="IJ8eOA/uQiFlyfU8rrOQhB6IVi8KBOYIbNBY9TNQemfuKtQMyWWBozW8d2UkUkX17u4LL3YdQ4JV0AWbb1d1GQ==" workbookSaltValue="fbxP3eTem/J0S8IM0iiwqA==" workbookSpinCount="100000" lockStructure="1"/>
  <bookViews>
    <workbookView xWindow="-120" yWindow="-120" windowWidth="29040" windowHeight="15720" xr2:uid="{00000000-000D-0000-FFFF-FFFF00000000}"/>
  </bookViews>
  <sheets>
    <sheet name="Safety Data" sheetId="1" r:id="rId1"/>
    <sheet name="Notes On DQ and Errors" sheetId="4" state="hidden" r:id="rId2"/>
    <sheet name="Oregon Data" sheetId="3" state="hidden" r:id="rId3"/>
    <sheet name="Instructions for updating sheet" sheetId="5" state="hidden" r:id="rId4"/>
  </sheets>
  <definedNames>
    <definedName name="_xlnm.Print_Area" localSheetId="0">'Safety Data'!$A$1:$I$73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1" l="1"/>
  <c r="I9" i="1"/>
  <c r="A50" i="1"/>
  <c r="J16" i="1" s="1"/>
  <c r="J10" i="1"/>
  <c r="I10" i="1"/>
  <c r="H30" i="1"/>
  <c r="G30" i="1"/>
  <c r="F30" i="1"/>
  <c r="D62" i="1"/>
  <c r="D58" i="1"/>
  <c r="J36" i="1"/>
  <c r="J28" i="1"/>
  <c r="J26" i="1"/>
  <c r="J24" i="1"/>
  <c r="J20" i="1"/>
  <c r="I20" i="1"/>
  <c r="I36" i="1"/>
  <c r="M36" i="1"/>
  <c r="M34" i="1"/>
  <c r="H32" i="1"/>
  <c r="E22" i="3"/>
  <c r="E21" i="3"/>
  <c r="E20" i="3"/>
  <c r="E19" i="3"/>
  <c r="E18" i="3"/>
  <c r="E17" i="3"/>
  <c r="E16" i="3"/>
  <c r="E15" i="3"/>
  <c r="E14" i="3"/>
  <c r="E13" i="3"/>
  <c r="E12" i="3"/>
  <c r="E11" i="3"/>
  <c r="E10" i="3"/>
  <c r="E9" i="3"/>
  <c r="E8" i="3"/>
  <c r="E7" i="3"/>
  <c r="D22" i="3"/>
  <c r="D21" i="3"/>
  <c r="D20" i="3"/>
  <c r="D19" i="3"/>
  <c r="D18" i="3"/>
  <c r="D17" i="3"/>
  <c r="D16" i="3"/>
  <c r="D15" i="3"/>
  <c r="D14" i="3"/>
  <c r="D13" i="3"/>
  <c r="D12" i="3"/>
  <c r="D11" i="3"/>
  <c r="D10" i="3"/>
  <c r="D9" i="3"/>
  <c r="D8" i="3"/>
  <c r="D7" i="3"/>
  <c r="C20" i="3"/>
  <c r="G32" i="1"/>
  <c r="F32" i="1"/>
  <c r="F34" i="1" s="1"/>
  <c r="H18" i="1"/>
  <c r="G18" i="1"/>
  <c r="I28" i="1"/>
  <c r="A46" i="1"/>
  <c r="J22" i="1" s="1"/>
  <c r="H15" i="1"/>
  <c r="G15" i="1"/>
  <c r="F15" i="1"/>
  <c r="H4" i="1"/>
  <c r="G4" i="1"/>
  <c r="F4" i="1"/>
  <c r="C15" i="3"/>
  <c r="C7" i="3"/>
  <c r="C22" i="3"/>
  <c r="C21" i="3"/>
  <c r="C18" i="3"/>
  <c r="C17" i="3"/>
  <c r="C16" i="3"/>
  <c r="C14" i="3"/>
  <c r="C13" i="3"/>
  <c r="C12" i="3"/>
  <c r="C11" i="3"/>
  <c r="C10" i="3"/>
  <c r="C9" i="3"/>
  <c r="C8" i="3"/>
  <c r="C19" i="3"/>
  <c r="I16" i="1" l="1"/>
  <c r="I5" i="1"/>
  <c r="J5" i="1"/>
  <c r="I3" i="1"/>
  <c r="J3" i="1"/>
  <c r="F3" i="4"/>
  <c r="J32" i="1"/>
  <c r="I32" i="1"/>
  <c r="I22" i="1"/>
  <c r="I6" i="4"/>
  <c r="B56" i="1"/>
  <c r="B53" i="1"/>
  <c r="I26" i="1"/>
  <c r="I24" i="1"/>
  <c r="F18" i="1"/>
  <c r="A48" i="1"/>
  <c r="H34" i="1"/>
  <c r="G34" i="1"/>
  <c r="J12" i="1" l="1"/>
  <c r="B64" i="1"/>
  <c r="C64" i="1" s="1"/>
  <c r="D64" i="1" s="1"/>
  <c r="I12" i="1"/>
  <c r="A64" i="1"/>
  <c r="C63" i="1" s="1"/>
  <c r="D63" i="1" s="1"/>
  <c r="A56" i="1"/>
  <c r="A53" i="1"/>
  <c r="G5" i="4"/>
  <c r="G4" i="4"/>
  <c r="K32" i="1" l="1"/>
  <c r="L32" i="1"/>
  <c r="K28" i="1"/>
  <c r="L28" i="1"/>
  <c r="B60" i="1"/>
  <c r="C60" i="1" s="1"/>
  <c r="D60" i="1" s="1"/>
  <c r="A60" i="1"/>
  <c r="C59" i="1" s="1"/>
  <c r="D59" i="1" s="1"/>
  <c r="E64" i="1"/>
  <c r="K37" i="1" s="1"/>
  <c r="H5" i="4"/>
  <c r="I5" i="4" s="1"/>
  <c r="H4" i="4"/>
  <c r="I4" i="4" s="1"/>
  <c r="G56" i="1"/>
  <c r="M32" i="1" s="1"/>
  <c r="G53" i="1"/>
  <c r="J30" i="1" s="1"/>
  <c r="E60" i="1" l="1"/>
  <c r="K35" i="1" s="1"/>
  <c r="J34" i="1"/>
  <c r="J38" i="1" s="1"/>
  <c r="A41" i="1" s="1"/>
  <c r="M28" i="1"/>
  <c r="I34" i="1"/>
  <c r="I30" i="1"/>
  <c r="A39" i="1" l="1"/>
  <c r="K23" i="1"/>
  <c r="K20" i="1"/>
</calcChain>
</file>

<file path=xl/sharedStrings.xml><?xml version="1.0" encoding="utf-8"?>
<sst xmlns="http://schemas.openxmlformats.org/spreadsheetml/2006/main" count="119" uniqueCount="89">
  <si>
    <t>Experience Rate Modification (ERM)</t>
  </si>
  <si>
    <t>Calendar Year</t>
  </si>
  <si>
    <t>1. Total employee-hours worked</t>
  </si>
  <si>
    <t>2. Total number of deaths (Total in column G of the OSHA 300 log)</t>
  </si>
  <si>
    <t>3. Total number of lost work-day cases injuries/illnesses (Total in column H of the OSHA 300 log)</t>
  </si>
  <si>
    <t>&lt;- All must be less than 1.0</t>
  </si>
  <si>
    <t>Oregon Occupational Injury Tables</t>
  </si>
  <si>
    <t>https://digital.osl.state.or.us/islandora/object/osl:11342</t>
  </si>
  <si>
    <t>&lt;--Must be less than NAICS average</t>
  </si>
  <si>
    <t>3 Yr. Avg.</t>
  </si>
  <si>
    <t>NAICS Codes</t>
  </si>
  <si>
    <t>NAICS Codes &amp; Latest Data Table</t>
  </si>
  <si>
    <t>Industry Title</t>
  </si>
  <si>
    <t>Construction of Buildings</t>
  </si>
  <si>
    <t>Residential building construction</t>
  </si>
  <si>
    <t>Nonresidential building construction</t>
  </si>
  <si>
    <t>Utility system construction</t>
  </si>
  <si>
    <t>Heavy and civil construction</t>
  </si>
  <si>
    <t>Highway, street, and bridge construction</t>
  </si>
  <si>
    <t>Poured concrete, foundation, and structure contractors</t>
  </si>
  <si>
    <t>Foundation, structure, and building exterior contractors</t>
  </si>
  <si>
    <t>Roofing contractor</t>
  </si>
  <si>
    <t>Building equipment contractors</t>
  </si>
  <si>
    <t>Electrical contractors and other wiring installation contractors</t>
  </si>
  <si>
    <t>Plumbing, heating, and air-conditioning contractors</t>
  </si>
  <si>
    <t>Building finishing contractors</t>
  </si>
  <si>
    <t>Drywall installation and repair contractors</t>
  </si>
  <si>
    <t>DART</t>
  </si>
  <si>
    <t>RIR</t>
  </si>
  <si>
    <t>Drop down list for NAICS Instructions</t>
  </si>
  <si>
    <t>https://support.microsoft.com/en-gb/office/video-create-and-manage-drop-down-lists-28db87b6-725f-49d7-9b29-ab4bc56cefc2</t>
  </si>
  <si>
    <t>Difference</t>
  </si>
  <si>
    <t>Notes</t>
  </si>
  <si>
    <t>Combo For Drop Down List</t>
  </si>
  <si>
    <t>Click on the down arrow here to view drop down list -----&gt;</t>
  </si>
  <si>
    <t>Incurred Loss Ratio for Policy Year (ILR)</t>
  </si>
  <si>
    <t>Your firm’s worker’s compensation ERM for the current policy year &amp; the three most recent completed policy years.</t>
  </si>
  <si>
    <t>Current Policy Period</t>
  </si>
  <si>
    <t>Fatalities</t>
  </si>
  <si>
    <t>For this application, you have chosen NAICS code:</t>
  </si>
  <si>
    <t>DART &amp; RIR (IR) PRIDE Qualification Notes:</t>
  </si>
  <si>
    <t>4. Total number of restricted or transferred cases, injuries/illnesses (Total in column I of the OSHA 300 log)</t>
  </si>
  <si>
    <t>5. Total number of other recordable cases (Total in column J of the OSHA 300 log)</t>
  </si>
  <si>
    <t>Based on the NAICS code chosen, the DART rate cannot exceed</t>
  </si>
  <si>
    <t>Based on the NAICS code chosen, the RIR (IR) cannot exceed</t>
  </si>
  <si>
    <t>Actual</t>
  </si>
  <si>
    <t>Threshold</t>
  </si>
  <si>
    <t>Specialty trade contractors</t>
  </si>
  <si>
    <t>Total injuries must equal time-loss, restricted, and other</t>
  </si>
  <si>
    <t>Notes on changes year-to-year that need to be made to this sheet, consider the following:</t>
  </si>
  <si>
    <t>2. Go to the Oregon DCBS page and look for the latest published data for NAICS DART and Incident Rates</t>
  </si>
  <si>
    <t>3. Update the link to the latest PDF DCBS report in L34</t>
  </si>
  <si>
    <t>4. Update the data in the Oregon Data Tab to reflect the latest rates.</t>
  </si>
  <si>
    <t>1. Unprotect the sheet and at the top of the sheet change the year to the current PRIDE year. Ensure that all years in different categories update appropriately based on this number.</t>
  </si>
  <si>
    <t>5. Test the drop down list to make sure that all data is accurate.</t>
  </si>
  <si>
    <t>6. Unhide the rows that feature the stats under the report to view calculations and test them for accuracy.</t>
  </si>
  <si>
    <t>Enter the number of listed willful citations here ---&gt;</t>
  </si>
  <si>
    <t xml:space="preserve"> PRIDE SAFETY DATA APPLICATION</t>
  </si>
  <si>
    <t>OSHA Reporting &amp; Citation Information</t>
  </si>
  <si>
    <t>Your firm’s OSHA 300 log and form 300A information for the most recent three completed calendar years.</t>
  </si>
  <si>
    <t>2021 Data</t>
  </si>
  <si>
    <t>2020 Data</t>
  </si>
  <si>
    <t>RIR carried over from 2020 data because no data reported in 2021 data</t>
  </si>
  <si>
    <t>Both stats carried over from 2020 data because not included in 2021 data</t>
  </si>
  <si>
    <t>Other building equipment contractors</t>
  </si>
  <si>
    <t>NAICS Avg.</t>
  </si>
  <si>
    <t>3 Year DART Averages</t>
  </si>
  <si>
    <t>3 Year RIR Averages</t>
  </si>
  <si>
    <t>3 Year Average Loss Ratio</t>
  </si>
  <si>
    <t>Mod Rate (Most Recent Year)</t>
  </si>
  <si>
    <t>Next Year's Chances (If no losses)</t>
  </si>
  <si>
    <t>This Contractor</t>
  </si>
  <si>
    <t>Next Year's Chances (If average losses)</t>
  </si>
  <si>
    <t>Next Year's Chances if Avg. Injuries in</t>
  </si>
  <si>
    <t>Next Year's Chances if Zero Injuries in</t>
  </si>
  <si>
    <t>Three-Year Averages</t>
  </si>
  <si>
    <t>6. Days Away, Restricted or Transferred (DART). This is automatically calculated.</t>
  </si>
  <si>
    <t>7. Total Recordable Injury/Illnesses (cases). This is automatically calculated.</t>
  </si>
  <si>
    <t>8. Recordable Incident Rate (RIR or TRIR). This is automatically calculated.</t>
  </si>
  <si>
    <t>9. Willful OSHA Citations. Click on the link to the right to launch the OSHA establishment search page. Enter your company name in the website's search bar to review and verify your three-year citation history.</t>
  </si>
  <si>
    <r>
      <t xml:space="preserve">Select the NAICS code that </t>
    </r>
    <r>
      <rPr>
        <u/>
        <sz val="9"/>
        <color theme="1"/>
        <rFont val="Calibri"/>
        <family val="2"/>
        <scheme val="minor"/>
      </rPr>
      <t>most accurately</t>
    </r>
    <r>
      <rPr>
        <sz val="9"/>
        <color theme="1"/>
        <rFont val="Calibri"/>
        <family val="2"/>
        <scheme val="minor"/>
      </rPr>
      <t xml:space="preserve"> describes your industry from the drop down menu to the right </t>
    </r>
    <r>
      <rPr>
        <sz val="9"/>
        <color theme="1"/>
        <rFont val="Calibri"/>
        <family val="2"/>
      </rPr>
      <t>→</t>
    </r>
    <r>
      <rPr>
        <sz val="9"/>
        <color theme="1"/>
        <rFont val="Calibri"/>
        <family val="2"/>
        <scheme val="minor"/>
      </rPr>
      <t xml:space="preserve"> </t>
    </r>
  </si>
  <si>
    <t>Your firm’s worker’s compensation ILR for the three most recent completed policy years.</t>
  </si>
  <si>
    <t xml:space="preserve">Instructions: Complete all yellow colored fields below. Note that if the year at the top of this form does not reflect this current year, this sheet is outdated and a new sheet should be obtained from your assigned SMC or by visiting the AGC safety awards webpage (click on the PRIDE logo at the top left corner of this sheet to launch the safety awards page). For questions on this form please reach out to Nathan Taylor at nathant@agc-oregon.org or (971) 334-2159. </t>
  </si>
  <si>
    <t>2022 Data</t>
  </si>
  <si>
    <t>Added from 2021 data (not provided in 2020 or 2022 data)</t>
  </si>
  <si>
    <t>Click here for the latest DCBS report data----&gt;</t>
  </si>
  <si>
    <t>Company Legal Name:</t>
  </si>
  <si>
    <t>FEIN  (Federal Employer ID Number)</t>
  </si>
  <si>
    <r>
      <t xml:space="preserve">Primary NAICS code here  </t>
    </r>
    <r>
      <rPr>
        <b/>
        <sz val="11"/>
        <color theme="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</si>
</sst>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_(* #,##0_);_(* \(#,##0\);_(* &quot;-&quot;??_);_(@_)"/>
    <numFmt numFmtId="166" formatCode="0.0"/>
  </numFmts>
  <fonts count="32" x14ac:knownFonts="1">
    <font>
      <sz val="11"/>
      <color theme="1"/>
      <name val="Calibri"/>
      <family val="2"/>
      <scheme val="minor"/>
    </font>
    <font>
      <b/>
      <sz val="11"/>
      <color theme="1"/>
      <name val="Calibri"/>
      <family val="2"/>
      <scheme val="minor"/>
    </font>
    <font>
      <sz val="9"/>
      <color theme="1"/>
      <name val="Calibri"/>
      <family val="2"/>
      <scheme val="minor"/>
    </font>
    <font>
      <u/>
      <sz val="11"/>
      <color theme="10"/>
      <name val="Calibri"/>
      <family val="2"/>
      <scheme val="minor"/>
    </font>
    <font>
      <b/>
      <sz val="20"/>
      <color theme="1"/>
      <name val="Calibri"/>
      <family val="2"/>
      <scheme val="minor"/>
    </font>
    <font>
      <sz val="11"/>
      <color theme="1"/>
      <name val="Calibri"/>
      <family val="2"/>
      <scheme val="minor"/>
    </font>
    <font>
      <sz val="36"/>
      <color rgb="FF00B050"/>
      <name val="Wingdings"/>
      <charset val="2"/>
    </font>
    <font>
      <b/>
      <sz val="18"/>
      <color theme="1"/>
      <name val="Calibri"/>
      <family val="2"/>
      <scheme val="minor"/>
    </font>
    <font>
      <sz val="11"/>
      <name val="Calibri"/>
      <family val="2"/>
      <scheme val="minor"/>
    </font>
    <font>
      <sz val="9"/>
      <name val="Calibri"/>
      <family val="2"/>
      <scheme val="minor"/>
    </font>
    <font>
      <sz val="12"/>
      <color theme="1"/>
      <name val="Calibri"/>
      <family val="2"/>
      <scheme val="minor"/>
    </font>
    <font>
      <sz val="28"/>
      <color rgb="FF00B050"/>
      <name val="Wingdings"/>
      <charset val="2"/>
    </font>
    <font>
      <i/>
      <sz val="11"/>
      <color theme="1"/>
      <name val="Calibri"/>
      <family val="2"/>
      <scheme val="minor"/>
    </font>
    <font>
      <b/>
      <sz val="26"/>
      <color theme="1"/>
      <name val="Calibri"/>
      <family val="2"/>
    </font>
    <font>
      <b/>
      <sz val="26"/>
      <color theme="1"/>
      <name val="Calibri"/>
      <family val="2"/>
      <scheme val="minor"/>
    </font>
    <font>
      <b/>
      <sz val="10"/>
      <color theme="1"/>
      <name val="Calibri"/>
      <family val="2"/>
      <scheme val="minor"/>
    </font>
    <font>
      <sz val="9.5"/>
      <color theme="1"/>
      <name val="Calibri"/>
      <family val="2"/>
      <scheme val="minor"/>
    </font>
    <font>
      <sz val="11"/>
      <color theme="0"/>
      <name val="Calibri"/>
      <family val="2"/>
      <scheme val="minor"/>
    </font>
    <font>
      <sz val="10"/>
      <color theme="1"/>
      <name val="Calibri"/>
      <family val="2"/>
      <scheme val="minor"/>
    </font>
    <font>
      <b/>
      <sz val="9.5"/>
      <color theme="1"/>
      <name val="Calibri"/>
      <family val="2"/>
      <scheme val="minor"/>
    </font>
    <font>
      <sz val="8"/>
      <color theme="1"/>
      <name val="Calibri"/>
      <family val="2"/>
      <scheme val="minor"/>
    </font>
    <font>
      <sz val="8"/>
      <color theme="1"/>
      <name val="Calibri"/>
      <family val="2"/>
    </font>
    <font>
      <b/>
      <sz val="20"/>
      <color theme="0"/>
      <name val="Calibri"/>
      <family val="2"/>
      <scheme val="minor"/>
    </font>
    <font>
      <sz val="11"/>
      <color theme="0"/>
      <name val="Calibri"/>
      <family val="2"/>
    </font>
    <font>
      <b/>
      <sz val="13"/>
      <color rgb="FF00B050"/>
      <name val="Calibri"/>
      <family val="2"/>
      <scheme val="minor"/>
    </font>
    <font>
      <b/>
      <sz val="13"/>
      <color rgb="FFFF0000"/>
      <name val="Calibri"/>
      <family val="2"/>
      <scheme val="minor"/>
    </font>
    <font>
      <u/>
      <sz val="9"/>
      <color theme="1"/>
      <name val="Calibri"/>
      <family val="2"/>
      <scheme val="minor"/>
    </font>
    <font>
      <b/>
      <sz val="11"/>
      <color theme="1"/>
      <name val="Calibri"/>
      <family val="2"/>
    </font>
    <font>
      <sz val="14"/>
      <color rgb="FF00B050"/>
      <name val="Wingdings"/>
      <charset val="2"/>
    </font>
    <font>
      <b/>
      <sz val="15"/>
      <color rgb="FF00B050"/>
      <name val="Calibri"/>
      <family val="2"/>
      <scheme val="minor"/>
    </font>
    <font>
      <sz val="9"/>
      <color theme="1"/>
      <name val="Calibri"/>
      <family val="2"/>
    </font>
    <font>
      <b/>
      <sz val="11"/>
      <color rgb="FF00B050"/>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4"/>
        <bgColor indexed="64"/>
      </patternFill>
    </fill>
    <fill>
      <patternFill patternType="solid">
        <fgColor theme="9"/>
        <bgColor indexed="64"/>
      </patternFill>
    </fill>
    <fill>
      <patternFill patternType="solid">
        <fgColor theme="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1" tint="0.49998474074526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43" fontId="5" fillId="0" borderId="0" applyFont="0" applyFill="0" applyBorder="0" applyAlignment="0" applyProtection="0"/>
  </cellStyleXfs>
  <cellXfs count="223">
    <xf numFmtId="0" fontId="0" fillId="0" borderId="0" xfId="0"/>
    <xf numFmtId="0" fontId="0" fillId="0" borderId="0" xfId="0" applyAlignment="1">
      <alignment horizontal="left"/>
    </xf>
    <xf numFmtId="0" fontId="1" fillId="0" borderId="0" xfId="0" applyFont="1"/>
    <xf numFmtId="0" fontId="0" fillId="0" borderId="0" xfId="0" applyAlignment="1">
      <alignment horizontal="left" vertical="center"/>
    </xf>
    <xf numFmtId="9" fontId="0" fillId="2" borderId="1" xfId="0" applyNumberFormat="1" applyFill="1" applyBorder="1" applyAlignment="1" applyProtection="1">
      <alignment horizontal="center" vertical="center"/>
      <protection locked="0"/>
    </xf>
    <xf numFmtId="0" fontId="4" fillId="0" borderId="18" xfId="0" applyFont="1" applyBorder="1"/>
    <xf numFmtId="0" fontId="4" fillId="0" borderId="19" xfId="0" applyFont="1" applyBorder="1"/>
    <xf numFmtId="0" fontId="1" fillId="0" borderId="1" xfId="0" applyFont="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0" fillId="0" borderId="12" xfId="0" applyBorder="1" applyAlignment="1">
      <alignment horizontal="left"/>
    </xf>
    <xf numFmtId="0" fontId="1" fillId="0" borderId="1" xfId="0" applyFont="1" applyBorder="1"/>
    <xf numFmtId="0" fontId="2" fillId="0" borderId="21" xfId="0" applyFont="1" applyBorder="1" applyAlignment="1">
      <alignment horizontal="left" vertical="center" wrapText="1"/>
    </xf>
    <xf numFmtId="0" fontId="15" fillId="0" borderId="0" xfId="0" applyFont="1" applyAlignment="1">
      <alignment vertical="center" wrapText="1"/>
    </xf>
    <xf numFmtId="0" fontId="15" fillId="0" borderId="0" xfId="0" applyFont="1" applyAlignment="1">
      <alignment vertical="center"/>
    </xf>
    <xf numFmtId="0" fontId="19" fillId="11" borderId="13" xfId="0" applyFont="1" applyFill="1" applyBorder="1" applyAlignment="1">
      <alignment horizontal="left" vertical="center"/>
    </xf>
    <xf numFmtId="0" fontId="20" fillId="9" borderId="1" xfId="0" applyFont="1" applyFill="1" applyBorder="1" applyAlignment="1">
      <alignment horizontal="center"/>
    </xf>
    <xf numFmtId="0" fontId="20" fillId="10" borderId="1" xfId="0" applyFont="1" applyFill="1" applyBorder="1" applyAlignment="1">
      <alignment horizontal="center" vertical="center"/>
    </xf>
    <xf numFmtId="0" fontId="20" fillId="10" borderId="1" xfId="0" applyFont="1" applyFill="1" applyBorder="1" applyAlignment="1">
      <alignment horizontal="center" vertical="center" wrapText="1"/>
    </xf>
    <xf numFmtId="0" fontId="22" fillId="0" borderId="0" xfId="0" applyFont="1"/>
    <xf numFmtId="0" fontId="17" fillId="0" borderId="0" xfId="0" applyFont="1"/>
    <xf numFmtId="0" fontId="17" fillId="12" borderId="1" xfId="0" applyFont="1" applyFill="1" applyBorder="1" applyAlignment="1">
      <alignment horizontal="center"/>
    </xf>
    <xf numFmtId="0" fontId="17" fillId="12" borderId="1" xfId="0" applyFont="1" applyFill="1" applyBorder="1"/>
    <xf numFmtId="0" fontId="17" fillId="13" borderId="1" xfId="0" applyFont="1" applyFill="1" applyBorder="1" applyAlignment="1">
      <alignment horizontal="center"/>
    </xf>
    <xf numFmtId="0" fontId="17" fillId="13" borderId="1" xfId="0" applyFont="1" applyFill="1" applyBorder="1"/>
    <xf numFmtId="0" fontId="17" fillId="14" borderId="1" xfId="0" applyFont="1" applyFill="1" applyBorder="1" applyAlignment="1">
      <alignment horizontal="center"/>
    </xf>
    <xf numFmtId="0" fontId="17" fillId="14" borderId="1" xfId="0" applyFont="1" applyFill="1" applyBorder="1"/>
    <xf numFmtId="0" fontId="17" fillId="15" borderId="1" xfId="0" applyFont="1" applyFill="1" applyBorder="1" applyAlignment="1">
      <alignment horizontal="center"/>
    </xf>
    <xf numFmtId="0" fontId="17" fillId="15" borderId="1" xfId="0" applyFont="1" applyFill="1" applyBorder="1"/>
    <xf numFmtId="0" fontId="6" fillId="0" borderId="0" xfId="0" applyFont="1" applyAlignment="1">
      <alignment horizontal="center" vertical="center"/>
    </xf>
    <xf numFmtId="0" fontId="0" fillId="0" borderId="24" xfId="0" applyBorder="1" applyAlignment="1">
      <alignment horizontal="center" vertical="center" wrapText="1"/>
    </xf>
    <xf numFmtId="0" fontId="1" fillId="0" borderId="23" xfId="0" applyFont="1" applyBorder="1" applyAlignment="1">
      <alignment horizontal="center"/>
    </xf>
    <xf numFmtId="9" fontId="0" fillId="2" borderId="23" xfId="0" applyNumberFormat="1" applyFill="1" applyBorder="1" applyAlignment="1" applyProtection="1">
      <alignment horizontal="center" vertical="center"/>
      <protection locked="0"/>
    </xf>
    <xf numFmtId="0" fontId="1" fillId="0" borderId="23" xfId="0" applyFont="1" applyBorder="1"/>
    <xf numFmtId="0" fontId="1" fillId="0" borderId="31" xfId="0" applyFont="1" applyBorder="1" applyAlignment="1">
      <alignment horizontal="center" vertical="center" wrapText="1"/>
    </xf>
    <xf numFmtId="0" fontId="1" fillId="0" borderId="31" xfId="0" applyFont="1" applyBorder="1" applyAlignment="1">
      <alignment horizontal="center" vertical="center"/>
    </xf>
    <xf numFmtId="0" fontId="1" fillId="0" borderId="41" xfId="0" applyFont="1" applyBorder="1" applyAlignment="1">
      <alignment horizontal="center" vertical="center"/>
    </xf>
    <xf numFmtId="0" fontId="4" fillId="0" borderId="0" xfId="0" applyFont="1"/>
    <xf numFmtId="0" fontId="16" fillId="0" borderId="0" xfId="0" applyFont="1" applyAlignment="1">
      <alignment vertical="center" wrapText="1"/>
    </xf>
    <xf numFmtId="0" fontId="11" fillId="7" borderId="0" xfId="0" applyFont="1" applyFill="1" applyAlignment="1" applyProtection="1">
      <alignment horizontal="center" vertical="center"/>
      <protection locked="0"/>
    </xf>
    <xf numFmtId="0" fontId="6" fillId="0" borderId="0" xfId="0" applyFont="1" applyAlignment="1">
      <alignment vertical="center"/>
    </xf>
    <xf numFmtId="0" fontId="11" fillId="7" borderId="0" xfId="0" applyFont="1" applyFill="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2" borderId="42" xfId="0" applyFont="1" applyFill="1" applyBorder="1" applyAlignment="1">
      <alignment vertical="center"/>
    </xf>
    <xf numFmtId="0" fontId="28" fillId="7" borderId="0" xfId="0" applyFont="1" applyFill="1" applyAlignment="1">
      <alignment horizontal="center"/>
    </xf>
    <xf numFmtId="0" fontId="17" fillId="0" borderId="0" xfId="0" applyFont="1" applyAlignment="1">
      <alignment horizontal="center"/>
    </xf>
    <xf numFmtId="166" fontId="17" fillId="13" borderId="1" xfId="0" applyNumberFormat="1" applyFont="1" applyFill="1" applyBorder="1"/>
    <xf numFmtId="166" fontId="17" fillId="15" borderId="1" xfId="0" applyNumberFormat="1" applyFont="1" applyFill="1" applyBorder="1"/>
    <xf numFmtId="166" fontId="17" fillId="14" borderId="1" xfId="0" applyNumberFormat="1" applyFont="1" applyFill="1" applyBorder="1"/>
    <xf numFmtId="0" fontId="4" fillId="0" borderId="18" xfId="0" applyFont="1" applyBorder="1" applyAlignment="1">
      <alignment vertical="center"/>
    </xf>
    <xf numFmtId="0" fontId="2" fillId="0" borderId="0" xfId="0" applyFont="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wrapText="1"/>
    </xf>
    <xf numFmtId="0" fontId="2" fillId="0" borderId="45" xfId="0" applyFont="1" applyBorder="1" applyAlignment="1">
      <alignment horizontal="left" vertical="center" wrapText="1"/>
    </xf>
    <xf numFmtId="0" fontId="2" fillId="0" borderId="12" xfId="0" applyFont="1" applyBorder="1" applyAlignment="1">
      <alignment horizontal="left" vertical="center" wrapText="1"/>
    </xf>
    <xf numFmtId="0" fontId="0" fillId="0" borderId="12" xfId="0" applyBorder="1" applyAlignment="1">
      <alignment horizontal="center" vertical="center"/>
    </xf>
    <xf numFmtId="0" fontId="0" fillId="0" borderId="44" xfId="0" applyBorder="1" applyAlignment="1">
      <alignment horizontal="center" vertical="center"/>
    </xf>
    <xf numFmtId="0" fontId="1" fillId="8" borderId="0" xfId="0" applyFont="1" applyFill="1"/>
    <xf numFmtId="0" fontId="0" fillId="8" borderId="0" xfId="0" applyFill="1"/>
    <xf numFmtId="0" fontId="1" fillId="3" borderId="0" xfId="0" applyFont="1" applyFill="1"/>
    <xf numFmtId="0" fontId="0" fillId="3" borderId="0" xfId="0" applyFill="1"/>
    <xf numFmtId="0" fontId="1" fillId="2" borderId="0" xfId="0" applyFont="1" applyFill="1"/>
    <xf numFmtId="0" fontId="0" fillId="2" borderId="0" xfId="0" applyFill="1"/>
    <xf numFmtId="10" fontId="0" fillId="2" borderId="0" xfId="0" applyNumberFormat="1" applyFill="1" applyAlignment="1">
      <alignment horizontal="center"/>
    </xf>
    <xf numFmtId="0" fontId="1" fillId="4" borderId="0" xfId="0" applyFont="1" applyFill="1" applyAlignment="1">
      <alignment horizontal="left"/>
    </xf>
    <xf numFmtId="0" fontId="0" fillId="4" borderId="0" xfId="0" applyFill="1"/>
    <xf numFmtId="164" fontId="0" fillId="4" borderId="0" xfId="0" applyNumberFormat="1" applyFill="1" applyAlignment="1">
      <alignment horizontal="center"/>
    </xf>
    <xf numFmtId="164" fontId="0" fillId="4" borderId="0" xfId="0" applyNumberFormat="1" applyFill="1"/>
    <xf numFmtId="164" fontId="1" fillId="5" borderId="0" xfId="0" applyNumberFormat="1" applyFont="1" applyFill="1" applyAlignment="1">
      <alignment horizontal="left"/>
    </xf>
    <xf numFmtId="0" fontId="0" fillId="5" borderId="0" xfId="0" applyFill="1"/>
    <xf numFmtId="164" fontId="0" fillId="5" borderId="0" xfId="0" applyNumberFormat="1" applyFill="1"/>
    <xf numFmtId="164" fontId="0" fillId="5" borderId="0" xfId="0" applyNumberFormat="1" applyFill="1" applyAlignment="1">
      <alignment horizontal="center"/>
    </xf>
    <xf numFmtId="164" fontId="0" fillId="0" borderId="0" xfId="0" applyNumberFormat="1" applyAlignment="1">
      <alignment horizontal="center"/>
    </xf>
    <xf numFmtId="164" fontId="0" fillId="0" borderId="0" xfId="0" applyNumberFormat="1"/>
    <xf numFmtId="164" fontId="1" fillId="11" borderId="0" xfId="0" applyNumberFormat="1" applyFont="1" applyFill="1" applyAlignment="1">
      <alignment horizontal="left"/>
    </xf>
    <xf numFmtId="0" fontId="0" fillId="11" borderId="0" xfId="0" applyFill="1"/>
    <xf numFmtId="0" fontId="20" fillId="11" borderId="0" xfId="0" applyFont="1" applyFill="1"/>
    <xf numFmtId="164" fontId="0" fillId="11" borderId="0" xfId="0" applyNumberFormat="1" applyFill="1"/>
    <xf numFmtId="164" fontId="20" fillId="11" borderId="0" xfId="0" applyNumberFormat="1" applyFont="1" applyFill="1" applyAlignment="1">
      <alignment horizontal="center"/>
    </xf>
    <xf numFmtId="0" fontId="20" fillId="11" borderId="0" xfId="0" applyFont="1" applyFill="1" applyAlignment="1">
      <alignment horizontal="center"/>
    </xf>
    <xf numFmtId="164" fontId="20" fillId="11" borderId="0" xfId="0" applyNumberFormat="1" applyFont="1" applyFill="1"/>
    <xf numFmtId="164" fontId="20" fillId="0" borderId="0" xfId="0" applyNumberFormat="1" applyFont="1" applyAlignment="1">
      <alignment horizontal="center"/>
    </xf>
    <xf numFmtId="0" fontId="20" fillId="0" borderId="0" xfId="0" applyFont="1" applyAlignment="1">
      <alignment horizontal="center"/>
    </xf>
    <xf numFmtId="0" fontId="20" fillId="0" borderId="0" xfId="0" applyFont="1"/>
    <xf numFmtId="0" fontId="3" fillId="0" borderId="0" xfId="1" applyBorder="1" applyProtection="1"/>
    <xf numFmtId="0" fontId="12" fillId="0" borderId="0" xfId="0" applyFont="1"/>
    <xf numFmtId="0" fontId="31" fillId="0" borderId="0" xfId="0" applyFont="1" applyAlignment="1">
      <alignment horizontal="center"/>
    </xf>
    <xf numFmtId="0" fontId="17" fillId="0" borderId="5" xfId="0" applyFont="1" applyBorder="1" applyAlignment="1">
      <alignment horizontal="center"/>
    </xf>
    <xf numFmtId="0" fontId="17" fillId="0" borderId="0" xfId="0" applyFont="1" applyAlignment="1">
      <alignment horizontal="center"/>
    </xf>
    <xf numFmtId="0" fontId="11" fillId="7" borderId="0" xfId="0" applyFont="1" applyFill="1" applyAlignment="1">
      <alignment horizontal="center" vertical="center"/>
    </xf>
    <xf numFmtId="0" fontId="0" fillId="2" borderId="3"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164" fontId="0" fillId="0" borderId="23" xfId="0" applyNumberFormat="1" applyBorder="1" applyAlignment="1">
      <alignment horizontal="center" vertical="center"/>
    </xf>
    <xf numFmtId="0" fontId="0" fillId="2" borderId="23" xfId="0" applyFill="1" applyBorder="1" applyAlignment="1" applyProtection="1">
      <alignment horizontal="center" vertical="center"/>
      <protection locked="0"/>
    </xf>
    <xf numFmtId="0" fontId="2" fillId="0" borderId="20"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center" vertical="center"/>
    </xf>
    <xf numFmtId="0" fontId="0" fillId="2" borderId="4" xfId="0" applyFill="1" applyBorder="1" applyAlignment="1" applyProtection="1">
      <alignment horizontal="center" vertical="center"/>
      <protection locked="0"/>
    </xf>
    <xf numFmtId="0" fontId="25" fillId="0" borderId="0" xfId="0" applyFont="1" applyAlignment="1">
      <alignment horizontal="center" vertical="center" wrapText="1"/>
    </xf>
    <xf numFmtId="0" fontId="19" fillId="9" borderId="9" xfId="0" applyFont="1" applyFill="1" applyBorder="1" applyAlignment="1">
      <alignment horizontal="center" vertical="center"/>
    </xf>
    <xf numFmtId="0" fontId="19" fillId="9" borderId="12" xfId="0" applyFont="1" applyFill="1" applyBorder="1" applyAlignment="1">
      <alignment horizontal="center" vertical="center"/>
    </xf>
    <xf numFmtId="0" fontId="19" fillId="9" borderId="13" xfId="0" applyFont="1" applyFill="1" applyBorder="1" applyAlignment="1">
      <alignment horizontal="center" vertical="center"/>
    </xf>
    <xf numFmtId="0" fontId="19" fillId="10" borderId="9" xfId="0" applyFont="1" applyFill="1" applyBorder="1" applyAlignment="1">
      <alignment horizontal="center" vertical="center"/>
    </xf>
    <xf numFmtId="0" fontId="19" fillId="10" borderId="12" xfId="0" applyFont="1" applyFill="1" applyBorder="1" applyAlignment="1">
      <alignment horizontal="center" vertical="center"/>
    </xf>
    <xf numFmtId="0" fontId="19" fillId="10" borderId="13" xfId="0" applyFont="1" applyFill="1" applyBorder="1" applyAlignment="1">
      <alignment horizontal="center" vertical="center"/>
    </xf>
    <xf numFmtId="0" fontId="18" fillId="11" borderId="9" xfId="0" applyFont="1" applyFill="1" applyBorder="1" applyAlignment="1">
      <alignment horizontal="center" vertical="center"/>
    </xf>
    <xf numFmtId="0" fontId="18" fillId="11" borderId="12" xfId="0" applyFont="1" applyFill="1" applyBorder="1" applyAlignment="1">
      <alignment horizontal="center" vertical="center"/>
    </xf>
    <xf numFmtId="0" fontId="18" fillId="11" borderId="13" xfId="0" applyFont="1" applyFill="1" applyBorder="1" applyAlignment="1">
      <alignment horizontal="center" vertical="center"/>
    </xf>
    <xf numFmtId="2" fontId="20" fillId="9" borderId="3" xfId="0" applyNumberFormat="1" applyFont="1" applyFill="1" applyBorder="1" applyAlignment="1">
      <alignment horizontal="center" vertical="center"/>
    </xf>
    <xf numFmtId="2" fontId="20" fillId="9" borderId="4" xfId="0" applyNumberFormat="1" applyFont="1" applyFill="1" applyBorder="1" applyAlignment="1">
      <alignment horizontal="center" vertical="center"/>
    </xf>
    <xf numFmtId="2" fontId="21" fillId="9" borderId="3" xfId="0" applyNumberFormat="1" applyFont="1" applyFill="1" applyBorder="1" applyAlignment="1">
      <alignment horizontal="center" vertical="center"/>
    </xf>
    <xf numFmtId="2" fontId="21" fillId="9" borderId="4" xfId="0" applyNumberFormat="1" applyFont="1" applyFill="1" applyBorder="1" applyAlignment="1">
      <alignment horizontal="center" vertical="center"/>
    </xf>
    <xf numFmtId="2" fontId="20" fillId="10" borderId="3" xfId="0" applyNumberFormat="1" applyFont="1" applyFill="1" applyBorder="1" applyAlignment="1">
      <alignment horizontal="center" vertical="center"/>
    </xf>
    <xf numFmtId="2" fontId="20" fillId="10" borderId="4" xfId="0" applyNumberFormat="1" applyFont="1" applyFill="1" applyBorder="1" applyAlignment="1">
      <alignment horizontal="center" vertical="center"/>
    </xf>
    <xf numFmtId="2" fontId="21" fillId="10" borderId="3" xfId="0" applyNumberFormat="1" applyFont="1" applyFill="1" applyBorder="1" applyAlignment="1">
      <alignment horizontal="center" vertical="center"/>
    </xf>
    <xf numFmtId="2" fontId="21" fillId="10" borderId="4" xfId="0" applyNumberFormat="1" applyFont="1" applyFill="1" applyBorder="1" applyAlignment="1">
      <alignment horizontal="center" vertical="center"/>
    </xf>
    <xf numFmtId="0" fontId="19" fillId="11" borderId="9" xfId="0" applyFont="1" applyFill="1" applyBorder="1" applyAlignment="1">
      <alignment horizontal="center" vertical="center"/>
    </xf>
    <xf numFmtId="0" fontId="19" fillId="11" borderId="12" xfId="0" applyFont="1" applyFill="1" applyBorder="1" applyAlignment="1">
      <alignment horizontal="center" vertical="center"/>
    </xf>
    <xf numFmtId="164" fontId="3" fillId="6" borderId="10" xfId="1" applyNumberFormat="1" applyFill="1" applyBorder="1" applyAlignment="1" applyProtection="1">
      <alignment horizontal="center" vertical="center"/>
    </xf>
    <xf numFmtId="164" fontId="0" fillId="6" borderId="11" xfId="0" applyNumberFormat="1" applyFill="1" applyBorder="1" applyAlignment="1">
      <alignment horizontal="center" vertical="center"/>
    </xf>
    <xf numFmtId="164" fontId="9" fillId="0" borderId="1" xfId="1" applyNumberFormat="1" applyFont="1" applyBorder="1" applyAlignment="1" applyProtection="1">
      <alignment horizontal="center" vertical="center" wrapText="1"/>
    </xf>
    <xf numFmtId="164" fontId="9" fillId="0" borderId="27" xfId="0" applyNumberFormat="1" applyFont="1" applyBorder="1" applyAlignment="1">
      <alignment horizontal="center" vertical="center" wrapText="1"/>
    </xf>
    <xf numFmtId="1" fontId="8" fillId="2" borderId="23" xfId="1" applyNumberFormat="1" applyFont="1" applyFill="1" applyBorder="1" applyAlignment="1" applyProtection="1">
      <alignment horizontal="center" vertical="center"/>
      <protection locked="0"/>
    </xf>
    <xf numFmtId="1" fontId="8" fillId="2" borderId="29" xfId="0" applyNumberFormat="1" applyFont="1" applyFill="1" applyBorder="1" applyAlignment="1" applyProtection="1">
      <alignment horizontal="center" vertical="center"/>
      <protection locked="0"/>
    </xf>
    <xf numFmtId="0" fontId="0" fillId="0" borderId="23" xfId="0" applyBorder="1" applyAlignment="1">
      <alignment horizontal="center" vertical="center"/>
    </xf>
    <xf numFmtId="0" fontId="2" fillId="0" borderId="25"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17"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164" fontId="0" fillId="0" borderId="1" xfId="0" applyNumberFormat="1" applyBorder="1" applyAlignment="1">
      <alignment horizontal="center" vertical="center"/>
    </xf>
    <xf numFmtId="164" fontId="0" fillId="0" borderId="3" xfId="0" applyNumberFormat="1" applyBorder="1" applyAlignment="1">
      <alignment horizontal="center" vertical="center"/>
    </xf>
    <xf numFmtId="0" fontId="24" fillId="0" borderId="0" xfId="0" applyFont="1" applyAlignment="1">
      <alignment horizontal="center" vertical="center" wrapText="1"/>
    </xf>
    <xf numFmtId="0" fontId="24" fillId="0" borderId="15" xfId="0" applyFont="1" applyBorder="1" applyAlignment="1">
      <alignment horizontal="center" vertical="center" wrapText="1"/>
    </xf>
    <xf numFmtId="0" fontId="6" fillId="0" borderId="0" xfId="0" applyFont="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165" fontId="0" fillId="2" borderId="23" xfId="2" applyNumberFormat="1" applyFont="1" applyFill="1" applyBorder="1" applyAlignment="1" applyProtection="1">
      <alignment horizontal="center" vertical="center"/>
      <protection locked="0"/>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20" xfId="0" applyFont="1" applyBorder="1" applyAlignment="1">
      <alignment horizontal="left" vertical="center"/>
    </xf>
    <xf numFmtId="0" fontId="1" fillId="0" borderId="1" xfId="0" applyFont="1" applyBorder="1" applyAlignment="1">
      <alignment horizontal="left" vertical="center"/>
    </xf>
    <xf numFmtId="0" fontId="1" fillId="0" borderId="9" xfId="0" applyFont="1" applyBorder="1" applyAlignment="1">
      <alignment horizontal="left" vertical="center"/>
    </xf>
    <xf numFmtId="164" fontId="3" fillId="0" borderId="0" xfId="1" applyNumberFormat="1" applyFill="1" applyBorder="1" applyAlignment="1" applyProtection="1">
      <alignment horizontal="center" vertical="center"/>
    </xf>
    <xf numFmtId="164" fontId="0" fillId="0" borderId="0" xfId="0" applyNumberFormat="1" applyAlignment="1">
      <alignment horizontal="center" vertical="center"/>
    </xf>
    <xf numFmtId="0" fontId="0" fillId="2" borderId="22" xfId="0" applyFill="1" applyBorder="1" applyAlignment="1" applyProtection="1">
      <alignment horizontal="center" vertical="center"/>
      <protection locked="0"/>
    </xf>
    <xf numFmtId="0" fontId="19" fillId="11" borderId="9" xfId="0" applyFont="1" applyFill="1" applyBorder="1" applyAlignment="1">
      <alignment horizontal="left" vertical="center"/>
    </xf>
    <xf numFmtId="0" fontId="19" fillId="11" borderId="12" xfId="0" applyFont="1" applyFill="1" applyBorder="1" applyAlignment="1">
      <alignment horizontal="left" vertical="center"/>
    </xf>
    <xf numFmtId="0" fontId="18" fillId="11" borderId="1" xfId="0" applyFont="1" applyFill="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23" fillId="0" borderId="0" xfId="0" applyFont="1" applyAlignment="1">
      <alignment horizontal="center" vertical="center"/>
    </xf>
    <xf numFmtId="0" fontId="17" fillId="0" borderId="0" xfId="0" applyFont="1" applyAlignment="1">
      <alignment horizontal="center" vertical="center"/>
    </xf>
    <xf numFmtId="0" fontId="2" fillId="0" borderId="9"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0" fillId="2" borderId="9"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2" borderId="37"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2" fillId="0" borderId="21"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10" fillId="2" borderId="6"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protection locked="0"/>
    </xf>
    <xf numFmtId="0" fontId="10" fillId="2" borderId="42" xfId="0" applyFont="1" applyFill="1" applyBorder="1" applyAlignment="1" applyProtection="1">
      <alignment horizontal="center" vertical="center" wrapText="1"/>
      <protection locked="0"/>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0" fillId="2" borderId="4"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29" fillId="0" borderId="0" xfId="0" applyFont="1" applyAlignment="1">
      <alignment horizontal="center" vertical="center"/>
    </xf>
    <xf numFmtId="165" fontId="0" fillId="2" borderId="3" xfId="2" applyNumberFormat="1" applyFont="1" applyFill="1" applyBorder="1" applyAlignment="1" applyProtection="1">
      <alignment horizontal="center" vertical="center"/>
      <protection locked="0"/>
    </xf>
    <xf numFmtId="165" fontId="0" fillId="2" borderId="4" xfId="2" applyNumberFormat="1" applyFont="1" applyFill="1" applyBorder="1" applyAlignment="1" applyProtection="1">
      <alignment horizontal="center" vertical="center"/>
      <protection locked="0"/>
    </xf>
    <xf numFmtId="0" fontId="4" fillId="0" borderId="10" xfId="0" applyFont="1" applyBorder="1" applyAlignment="1">
      <alignment horizontal="center"/>
    </xf>
    <xf numFmtId="0" fontId="4" fillId="0" borderId="18" xfId="0" applyFont="1" applyBorder="1" applyAlignment="1">
      <alignment horizontal="center"/>
    </xf>
    <xf numFmtId="0" fontId="1" fillId="0" borderId="10" xfId="0" applyFont="1" applyBorder="1" applyAlignment="1">
      <alignment horizontal="left" vertical="center"/>
    </xf>
    <xf numFmtId="0" fontId="1" fillId="0" borderId="18" xfId="0" applyFont="1" applyBorder="1" applyAlignment="1">
      <alignment horizontal="left" vertical="center"/>
    </xf>
    <xf numFmtId="0" fontId="2" fillId="0" borderId="46" xfId="0" applyFont="1" applyBorder="1" applyAlignment="1">
      <alignment horizontal="left" vertical="center" wrapText="1"/>
    </xf>
    <xf numFmtId="0" fontId="2" fillId="0" borderId="3" xfId="0" applyFont="1" applyBorder="1" applyAlignment="1">
      <alignment horizontal="left" vertical="center" wrapText="1"/>
    </xf>
    <xf numFmtId="0" fontId="0" fillId="2" borderId="1" xfId="0" applyFill="1" applyBorder="1" applyAlignment="1" applyProtection="1">
      <alignment horizontal="center" vertical="center"/>
      <protection locked="0"/>
    </xf>
    <xf numFmtId="165" fontId="0" fillId="2" borderId="1" xfId="2" applyNumberFormat="1" applyFont="1" applyFill="1" applyBorder="1" applyAlignment="1" applyProtection="1">
      <alignment horizontal="center" vertical="center"/>
      <protection locked="0"/>
    </xf>
    <xf numFmtId="0" fontId="2" fillId="0" borderId="20" xfId="0" applyFont="1" applyBorder="1" applyAlignment="1">
      <alignment horizontal="left" vertical="center"/>
    </xf>
    <xf numFmtId="0" fontId="2" fillId="0" borderId="1" xfId="0" applyFont="1" applyBorder="1" applyAlignment="1">
      <alignment horizontal="left" vertical="center"/>
    </xf>
    <xf numFmtId="0" fontId="16" fillId="0" borderId="11" xfId="0" applyFont="1" applyBorder="1" applyAlignment="1">
      <alignment horizontal="left" vertical="center" wrapText="1"/>
    </xf>
    <xf numFmtId="0" fontId="16" fillId="0" borderId="32" xfId="0" applyFont="1" applyBorder="1" applyAlignment="1">
      <alignment horizontal="left" vertical="center" wrapText="1"/>
    </xf>
    <xf numFmtId="0" fontId="16" fillId="0" borderId="39" xfId="0" applyFont="1" applyBorder="1" applyAlignment="1">
      <alignment horizontal="left" vertical="center" wrapText="1"/>
    </xf>
    <xf numFmtId="0" fontId="1" fillId="0" borderId="20"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xf numFmtId="0" fontId="0" fillId="0" borderId="9" xfId="0" applyBorder="1"/>
    <xf numFmtId="0" fontId="0" fillId="0" borderId="6" xfId="0" applyBorder="1" applyAlignment="1">
      <alignment horizontal="left"/>
    </xf>
    <xf numFmtId="0" fontId="0" fillId="0" borderId="2" xfId="0" applyBorder="1" applyAlignment="1">
      <alignment horizontal="left"/>
    </xf>
    <xf numFmtId="0" fontId="0" fillId="0" borderId="9"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7" fillId="0" borderId="0" xfId="0" applyFont="1" applyAlignment="1">
      <alignment horizontal="center" vertical="center"/>
    </xf>
    <xf numFmtId="0" fontId="17" fillId="15" borderId="9" xfId="0" applyFont="1" applyFill="1" applyBorder="1" applyAlignment="1">
      <alignment horizontal="center"/>
    </xf>
    <xf numFmtId="0" fontId="17" fillId="15" borderId="12" xfId="0" applyFont="1" applyFill="1" applyBorder="1" applyAlignment="1">
      <alignment horizontal="center"/>
    </xf>
    <xf numFmtId="0" fontId="17" fillId="15" borderId="13" xfId="0" applyFont="1" applyFill="1" applyBorder="1" applyAlignment="1">
      <alignment horizontal="center"/>
    </xf>
    <xf numFmtId="0" fontId="17" fillId="14" borderId="9" xfId="0" applyFont="1" applyFill="1" applyBorder="1" applyAlignment="1">
      <alignment horizontal="center"/>
    </xf>
    <xf numFmtId="0" fontId="17" fillId="14" borderId="12" xfId="0" applyFont="1" applyFill="1" applyBorder="1" applyAlignment="1">
      <alignment horizontal="center"/>
    </xf>
    <xf numFmtId="0" fontId="17" fillId="14" borderId="13" xfId="0" applyFont="1" applyFill="1" applyBorder="1" applyAlignment="1">
      <alignment horizontal="center"/>
    </xf>
    <xf numFmtId="0" fontId="17" fillId="13" borderId="9" xfId="0" applyFont="1" applyFill="1" applyBorder="1" applyAlignment="1">
      <alignment horizontal="center"/>
    </xf>
    <xf numFmtId="0" fontId="17" fillId="13" borderId="12" xfId="0" applyFont="1" applyFill="1" applyBorder="1" applyAlignment="1">
      <alignment horizontal="center"/>
    </xf>
    <xf numFmtId="0" fontId="17" fillId="13" borderId="13" xfId="0" applyFont="1" applyFill="1" applyBorder="1" applyAlignment="1">
      <alignment horizontal="center"/>
    </xf>
    <xf numFmtId="0" fontId="17" fillId="12" borderId="1" xfId="0" applyFont="1" applyFill="1" applyBorder="1" applyAlignment="1">
      <alignment horizontal="center"/>
    </xf>
    <xf numFmtId="0" fontId="0" fillId="0" borderId="0" xfId="0" applyAlignment="1">
      <alignment horizontal="left"/>
    </xf>
    <xf numFmtId="0" fontId="0" fillId="0" borderId="0" xfId="0" applyAlignment="1">
      <alignment horizontal="right" vertical="center"/>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3B3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agc-oregon.org/services/safety/safety-awards/" TargetMode="External"/><Relationship Id="rId2" Type="http://schemas.openxmlformats.org/officeDocument/2006/relationships/image" Target="../media/image1.jpeg"/><Relationship Id="rId1" Type="http://schemas.openxmlformats.org/officeDocument/2006/relationships/hyperlink" Target="https://www.osha.gov/pls/imis/establishment.html" TargetMode="External"/><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oregon.gov/DCBS/reports/protection/Pages/bls-programs.aspx"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56445</xdr:colOff>
      <xdr:row>35</xdr:row>
      <xdr:rowOff>77611</xdr:rowOff>
    </xdr:from>
    <xdr:to>
      <xdr:col>5</xdr:col>
      <xdr:colOff>804333</xdr:colOff>
      <xdr:row>36</xdr:row>
      <xdr:rowOff>246945</xdr:rowOff>
    </xdr:to>
    <xdr:pic>
      <xdr:nvPicPr>
        <xdr:cNvPr id="3" name="Picture 2">
          <a:hlinkClick xmlns:r="http://schemas.openxmlformats.org/officeDocument/2006/relationships" r:id="rId1"/>
          <a:extLst>
            <a:ext uri="{FF2B5EF4-FFF2-40B4-BE49-F238E27FC236}">
              <a16:creationId xmlns:a16="http://schemas.microsoft.com/office/drawing/2014/main" id="{EDC5A230-9718-47B7-B5AA-D15ED3ECB5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16112" y="8128000"/>
          <a:ext cx="747888" cy="444500"/>
        </a:xfrm>
        <a:prstGeom prst="rect">
          <a:avLst/>
        </a:prstGeom>
      </xdr:spPr>
    </xdr:pic>
    <xdr:clientData/>
  </xdr:twoCellAnchor>
  <xdr:twoCellAnchor>
    <xdr:from>
      <xdr:col>0</xdr:col>
      <xdr:colOff>194025</xdr:colOff>
      <xdr:row>0</xdr:row>
      <xdr:rowOff>33860</xdr:rowOff>
    </xdr:from>
    <xdr:to>
      <xdr:col>1</xdr:col>
      <xdr:colOff>388057</xdr:colOff>
      <xdr:row>0</xdr:row>
      <xdr:rowOff>814917</xdr:rowOff>
    </xdr:to>
    <xdr:pic>
      <xdr:nvPicPr>
        <xdr:cNvPr id="5" name="Picture 4">
          <a:hlinkClick xmlns:r="http://schemas.openxmlformats.org/officeDocument/2006/relationships" r:id="rId3"/>
          <a:extLst>
            <a:ext uri="{FF2B5EF4-FFF2-40B4-BE49-F238E27FC236}">
              <a16:creationId xmlns:a16="http://schemas.microsoft.com/office/drawing/2014/main" id="{666E1D15-2C60-463D-B543-AA53A041FAB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4025" y="33860"/>
          <a:ext cx="776115" cy="781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10</xdr:col>
      <xdr:colOff>138288</xdr:colOff>
      <xdr:row>1</xdr:row>
      <xdr:rowOff>5292</xdr:rowOff>
    </xdr:to>
    <xdr:pic>
      <xdr:nvPicPr>
        <xdr:cNvPr id="9" name="Picture 8">
          <a:hlinkClick xmlns:r="http://schemas.openxmlformats.org/officeDocument/2006/relationships" r:id="rId1"/>
          <a:extLst>
            <a:ext uri="{FF2B5EF4-FFF2-40B4-BE49-F238E27FC236}">
              <a16:creationId xmlns:a16="http://schemas.microsoft.com/office/drawing/2014/main" id="{106407C5-8CCD-4916-97D5-4E467ABF96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44275" y="0"/>
          <a:ext cx="747888" cy="43391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upport.microsoft.com/en-gb/office/video-create-and-manage-drop-down-lists-28db87b6-725f-49d7-9b29-ab4bc56cefc2" TargetMode="External"/><Relationship Id="rId1" Type="http://schemas.openxmlformats.org/officeDocument/2006/relationships/hyperlink" Target="https://digital.osl.state.or.us/islandora/object/osl:11342"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4"/>
  <sheetViews>
    <sheetView showGridLines="0" tabSelected="1" zoomScale="90" zoomScaleNormal="90" workbookViewId="0">
      <selection activeCell="F4" sqref="F4"/>
    </sheetView>
  </sheetViews>
  <sheetFormatPr defaultColWidth="8.7109375" defaultRowHeight="15" x14ac:dyDescent="0.25"/>
  <cols>
    <col min="3" max="3" width="14.5703125" customWidth="1"/>
    <col min="4" max="4" width="7.42578125" customWidth="1"/>
    <col min="5" max="7" width="12.42578125" bestFit="1" customWidth="1"/>
    <col min="8" max="8" width="12.7109375" bestFit="1" customWidth="1"/>
    <col min="9" max="9" width="7.7109375" hidden="1" customWidth="1"/>
    <col min="10" max="10" width="3.28515625" style="22" hidden="1" customWidth="1"/>
    <col min="11" max="11" width="20.5703125" hidden="1" customWidth="1"/>
    <col min="12" max="12" width="14.7109375" hidden="1" customWidth="1"/>
    <col min="13" max="13" width="17.5703125" hidden="1" customWidth="1"/>
    <col min="14" max="14" width="8.7109375" hidden="1" customWidth="1"/>
  </cols>
  <sheetData>
    <row r="1" spans="1:11" ht="66" customHeight="1" x14ac:dyDescent="0.4">
      <c r="A1" s="188"/>
      <c r="B1" s="189"/>
      <c r="C1" s="52">
        <v>2024</v>
      </c>
      <c r="D1" s="52" t="s">
        <v>57</v>
      </c>
      <c r="E1" s="5"/>
      <c r="F1" s="5"/>
      <c r="G1" s="5"/>
      <c r="H1" s="6"/>
      <c r="I1" s="39"/>
      <c r="J1" s="21"/>
    </row>
    <row r="2" spans="1:11" ht="66" customHeight="1" thickBot="1" x14ac:dyDescent="0.45">
      <c r="A2" s="198" t="s">
        <v>82</v>
      </c>
      <c r="B2" s="199"/>
      <c r="C2" s="199"/>
      <c r="D2" s="199"/>
      <c r="E2" s="199"/>
      <c r="F2" s="199"/>
      <c r="G2" s="199"/>
      <c r="H2" s="200"/>
      <c r="I2" s="40"/>
      <c r="J2" s="21"/>
    </row>
    <row r="3" spans="1:11" ht="20.25" customHeight="1" thickBot="1" x14ac:dyDescent="0.3">
      <c r="A3" s="166" t="s">
        <v>86</v>
      </c>
      <c r="B3" s="167"/>
      <c r="C3" s="168"/>
      <c r="D3" s="169"/>
      <c r="E3" s="170"/>
      <c r="F3" s="170"/>
      <c r="G3" s="170"/>
      <c r="H3" s="171"/>
      <c r="I3" s="41" t="str">
        <f>IF(D3&gt;=0.01,CHAR(252),"")</f>
        <v/>
      </c>
      <c r="J3" s="22" t="str">
        <f>IF(D3&gt;=0.01,1,"")</f>
        <v/>
      </c>
    </row>
    <row r="4" spans="1:11" ht="33" customHeight="1" x14ac:dyDescent="0.25">
      <c r="A4" s="190" t="s">
        <v>0</v>
      </c>
      <c r="B4" s="191"/>
      <c r="C4" s="191"/>
      <c r="D4" s="191"/>
      <c r="E4" s="36" t="s">
        <v>37</v>
      </c>
      <c r="F4" s="37" t="str">
        <f>_xlfn.CONCAT(C1-2,"/", C1-1)</f>
        <v>2022/2023</v>
      </c>
      <c r="G4" s="37" t="str">
        <f>_xlfn.CONCAT(C1-3,"/", C1-2)</f>
        <v>2021/2022</v>
      </c>
      <c r="H4" s="38" t="str">
        <f>_xlfn.CONCAT(C1-4,"/", C1-3)</f>
        <v>2020/2021</v>
      </c>
    </row>
    <row r="5" spans="1:11" ht="14.45" customHeight="1" x14ac:dyDescent="0.25">
      <c r="A5" s="99" t="s">
        <v>36</v>
      </c>
      <c r="B5" s="100"/>
      <c r="C5" s="100"/>
      <c r="D5" s="100"/>
      <c r="E5" s="194"/>
      <c r="F5" s="93"/>
      <c r="G5" s="93"/>
      <c r="H5" s="95"/>
      <c r="I5" s="92" t="str">
        <f>IF(H5&lt;&gt;"",IF(G5&lt;&gt;"",IF(F5&lt;&gt;"",IF(E5&lt;&gt;"",IF(E5&lt;=1,CHAR(252),""),""),""),""),"")</f>
        <v/>
      </c>
      <c r="J5" s="91" t="str">
        <f>IF(H5&lt;&gt;"",IF(G5&lt;&gt;"",IF(F5&lt;&gt;"",IF(E5&lt;&gt;"",IF(E5&lt;=1,1,""),""),""),""),"")</f>
        <v/>
      </c>
    </row>
    <row r="6" spans="1:11" x14ac:dyDescent="0.25">
      <c r="A6" s="99"/>
      <c r="B6" s="100"/>
      <c r="C6" s="100"/>
      <c r="D6" s="100"/>
      <c r="E6" s="194"/>
      <c r="F6" s="94"/>
      <c r="G6" s="94"/>
      <c r="H6" s="96"/>
      <c r="I6" s="92"/>
      <c r="J6" s="91"/>
    </row>
    <row r="7" spans="1:11" ht="9" customHeight="1" x14ac:dyDescent="0.25">
      <c r="A7" s="192"/>
      <c r="B7" s="193"/>
      <c r="C7" s="193"/>
      <c r="D7" s="193"/>
      <c r="E7" s="93"/>
      <c r="F7" s="94"/>
      <c r="G7" s="94"/>
      <c r="H7" s="96"/>
      <c r="I7" s="92"/>
      <c r="J7" s="91"/>
    </row>
    <row r="8" spans="1:11" ht="9" customHeight="1" x14ac:dyDescent="0.25">
      <c r="A8" s="56"/>
      <c r="B8" s="57"/>
      <c r="C8" s="57"/>
      <c r="D8" s="57"/>
      <c r="E8" s="58"/>
      <c r="F8" s="58"/>
      <c r="G8" s="58"/>
      <c r="H8" s="59"/>
      <c r="I8" s="43"/>
      <c r="J8" s="48"/>
    </row>
    <row r="9" spans="1:11" ht="17.25" customHeight="1" x14ac:dyDescent="0.25">
      <c r="A9" s="181" t="s">
        <v>87</v>
      </c>
      <c r="B9" s="182"/>
      <c r="C9" s="182"/>
      <c r="D9" s="182"/>
      <c r="E9" s="182"/>
      <c r="F9" s="183"/>
      <c r="G9" s="183"/>
      <c r="H9" s="184"/>
      <c r="I9" s="47" t="str">
        <f>IF(F9&gt;=0.01,CHAR(252),"")</f>
        <v/>
      </c>
      <c r="J9" s="22" t="str">
        <f>IF(F9&gt;=0.01,1,"")</f>
        <v/>
      </c>
    </row>
    <row r="10" spans="1:11" ht="17.100000000000001" customHeight="1" x14ac:dyDescent="0.25">
      <c r="A10" s="201" t="s">
        <v>88</v>
      </c>
      <c r="B10" s="202"/>
      <c r="C10" s="202"/>
      <c r="D10" s="202"/>
      <c r="E10" s="202"/>
      <c r="F10" s="163"/>
      <c r="G10" s="164"/>
      <c r="H10" s="165"/>
      <c r="I10" s="47" t="str">
        <f>IF(F10&gt;=0.01,CHAR(252),"")</f>
        <v/>
      </c>
      <c r="J10" s="22" t="str">
        <f>IF(F10&gt;=0.01,1,"")</f>
        <v/>
      </c>
    </row>
    <row r="11" spans="1:11" ht="44.1" hidden="1" customHeight="1" x14ac:dyDescent="0.25">
      <c r="A11" s="172" t="s">
        <v>80</v>
      </c>
      <c r="B11" s="173"/>
      <c r="C11" s="174"/>
      <c r="D11" s="44"/>
      <c r="E11" s="45"/>
      <c r="F11" s="45"/>
      <c r="G11" s="45"/>
      <c r="H11" s="46"/>
      <c r="I11" s="42"/>
    </row>
    <row r="12" spans="1:11" ht="18" customHeight="1" x14ac:dyDescent="0.25">
      <c r="A12" s="172"/>
      <c r="B12" s="173"/>
      <c r="C12" s="174"/>
      <c r="D12" s="175" t="s">
        <v>34</v>
      </c>
      <c r="E12" s="176"/>
      <c r="F12" s="176"/>
      <c r="G12" s="176"/>
      <c r="H12" s="177"/>
      <c r="I12" s="92" t="str">
        <f>IF(B56&gt;=0.01,CHAR(252),"")</f>
        <v/>
      </c>
      <c r="J12" s="91" t="str">
        <f>IF(B56&gt;=0.01,1,"")</f>
        <v/>
      </c>
      <c r="K12" s="3"/>
    </row>
    <row r="13" spans="1:11" ht="20.45" customHeight="1" x14ac:dyDescent="0.25">
      <c r="A13" s="133"/>
      <c r="B13" s="134"/>
      <c r="C13" s="135"/>
      <c r="D13" s="178"/>
      <c r="E13" s="179"/>
      <c r="F13" s="179"/>
      <c r="G13" s="179"/>
      <c r="H13" s="180"/>
      <c r="I13" s="92"/>
      <c r="J13" s="91"/>
    </row>
    <row r="14" spans="1:11" ht="9.6" customHeight="1" x14ac:dyDescent="0.25">
      <c r="A14" s="14"/>
      <c r="B14" s="53"/>
      <c r="C14" s="53"/>
      <c r="D14" s="53"/>
      <c r="E14" s="54"/>
      <c r="F14" s="55"/>
      <c r="G14" s="55"/>
      <c r="H14" s="32"/>
      <c r="I14" s="31"/>
    </row>
    <row r="15" spans="1:11" x14ac:dyDescent="0.25">
      <c r="A15" s="146" t="s">
        <v>35</v>
      </c>
      <c r="B15" s="147"/>
      <c r="C15" s="147"/>
      <c r="D15" s="147"/>
      <c r="E15" s="147"/>
      <c r="F15" s="7" t="str">
        <f>_xlfn.CONCAT(C1-2,"/", C1-1)</f>
        <v>2022/2023</v>
      </c>
      <c r="G15" s="7" t="str">
        <f>_xlfn.CONCAT(C1-3,"/", C1-2)</f>
        <v>2021/2022</v>
      </c>
      <c r="H15" s="33" t="str">
        <f>_xlfn.CONCAT(C1-4,"/", C1-3)</f>
        <v>2020/2021</v>
      </c>
    </row>
    <row r="16" spans="1:11" ht="26.1" customHeight="1" x14ac:dyDescent="0.25">
      <c r="A16" s="99" t="s">
        <v>81</v>
      </c>
      <c r="B16" s="100"/>
      <c r="C16" s="100"/>
      <c r="D16" s="100"/>
      <c r="E16" s="100"/>
      <c r="F16" s="4"/>
      <c r="G16" s="4"/>
      <c r="H16" s="34"/>
      <c r="I16" s="43" t="str">
        <f>IF(F16&lt;&gt;"",IF(G16&lt;&gt;"",IF(H16&lt;&gt;"",IF('Safety Data'!A50&lt;=0.4,CHAR(252),""),""),""),"")</f>
        <v/>
      </c>
      <c r="J16" s="22" t="str">
        <f>IF(F16&lt;&gt;"",IF(G16&lt;&gt;"",IF(H16&lt;&gt;"",IF('Safety Data'!A50&lt;=0.4,1,"0"),""),""),"")</f>
        <v/>
      </c>
    </row>
    <row r="17" spans="1:17" x14ac:dyDescent="0.25">
      <c r="A17" s="146" t="s">
        <v>58</v>
      </c>
      <c r="B17" s="147"/>
      <c r="C17" s="147"/>
      <c r="D17" s="147"/>
      <c r="E17" s="148"/>
      <c r="F17" s="13" t="s">
        <v>1</v>
      </c>
      <c r="G17" s="13" t="s">
        <v>1</v>
      </c>
      <c r="H17" s="35" t="s">
        <v>1</v>
      </c>
    </row>
    <row r="18" spans="1:17" ht="14.45" customHeight="1" x14ac:dyDescent="0.25">
      <c r="A18" s="99" t="s">
        <v>59</v>
      </c>
      <c r="B18" s="100"/>
      <c r="C18" s="100"/>
      <c r="D18" s="100"/>
      <c r="E18" s="159"/>
      <c r="F18" s="144">
        <f>C1-1</f>
        <v>2023</v>
      </c>
      <c r="G18" s="144">
        <f>C1-2</f>
        <v>2022</v>
      </c>
      <c r="H18" s="141">
        <f>C1-3</f>
        <v>2021</v>
      </c>
      <c r="I18" s="140"/>
    </row>
    <row r="19" spans="1:17" ht="11.1" customHeight="1" x14ac:dyDescent="0.25">
      <c r="A19" s="99"/>
      <c r="B19" s="100"/>
      <c r="C19" s="100"/>
      <c r="D19" s="100"/>
      <c r="E19" s="159"/>
      <c r="F19" s="145"/>
      <c r="G19" s="145"/>
      <c r="H19" s="142"/>
      <c r="I19" s="140"/>
    </row>
    <row r="20" spans="1:17" ht="14.45" customHeight="1" x14ac:dyDescent="0.25">
      <c r="A20" s="196" t="s">
        <v>2</v>
      </c>
      <c r="B20" s="197"/>
      <c r="C20" s="197"/>
      <c r="D20" s="197"/>
      <c r="E20" s="197"/>
      <c r="F20" s="195"/>
      <c r="G20" s="186"/>
      <c r="H20" s="143"/>
      <c r="I20" s="92" t="str">
        <f>IF(F20&lt;&gt;"",IF(G20&lt;&gt;"",IF(H20&lt;&gt;"",IF('Safety Data'!H20&gt;=0,CHAR(252),""),""),""),"")</f>
        <v/>
      </c>
      <c r="J20" s="91" t="str">
        <f>IF(F20&lt;&gt;"",IF(G20&lt;&gt;"",IF(H20&lt;&gt;"",IF('Safety Data'!H20&gt;=0,1,"0"),""),""),"")</f>
        <v/>
      </c>
      <c r="K20" s="103" t="str">
        <f>IF(J3&lt;&gt;"",IF(J5&lt;&gt;"",IF(J12&lt;&gt;"",IF(J16&lt;&gt;"",IF(J20&lt;&gt;"",IF(J22&lt;&gt;"",IF(J24&lt;&gt;"",IF(J26&lt;&gt;"",IF(J28&lt;&gt;"",IF(J30&lt;&gt;"",IF(J32&lt;&gt;"",IF(J34&lt;&gt;"",IF(J36&lt;&gt;"",IFERROR(IF(J38&lt;13,"THIS CONTRACTOR DOES NOT QUALIFY FOR THE PRIDE AWARD",""),""),""),""),""),""),""),""),""),""),""),""),""),""),"")</f>
        <v/>
      </c>
      <c r="L20" s="103"/>
      <c r="M20" s="103"/>
      <c r="O20" s="16"/>
    </row>
    <row r="21" spans="1:17" ht="12.95" customHeight="1" x14ac:dyDescent="0.25">
      <c r="A21" s="196"/>
      <c r="B21" s="197"/>
      <c r="C21" s="197"/>
      <c r="D21" s="197"/>
      <c r="E21" s="197"/>
      <c r="F21" s="195"/>
      <c r="G21" s="187"/>
      <c r="H21" s="143"/>
      <c r="I21" s="92"/>
      <c r="J21" s="91"/>
      <c r="K21" s="103"/>
      <c r="L21" s="103"/>
      <c r="M21" s="103"/>
    </row>
    <row r="22" spans="1:17" ht="14.45" customHeight="1" x14ac:dyDescent="0.25">
      <c r="A22" s="99" t="s">
        <v>3</v>
      </c>
      <c r="B22" s="100"/>
      <c r="C22" s="100"/>
      <c r="D22" s="100"/>
      <c r="E22" s="100"/>
      <c r="F22" s="194"/>
      <c r="G22" s="93"/>
      <c r="H22" s="98"/>
      <c r="I22" s="92" t="str">
        <f>IF(F22&lt;&gt;"",IF(G22&lt;&gt;"",IF(H22&lt;&gt;"",IF(A46=0,CHAR(252),""),""),""),"")</f>
        <v/>
      </c>
      <c r="J22" s="91" t="str">
        <f>IF(F22&lt;&gt;"",IF(G22&lt;&gt;"",IF(H22&lt;&gt;"",IF(A46=0,1,"0"),""),""),"")</f>
        <v/>
      </c>
      <c r="K22" s="103"/>
      <c r="L22" s="103"/>
      <c r="M22" s="103"/>
    </row>
    <row r="23" spans="1:17" ht="12.6" customHeight="1" x14ac:dyDescent="0.25">
      <c r="A23" s="99"/>
      <c r="B23" s="100"/>
      <c r="C23" s="100"/>
      <c r="D23" s="100"/>
      <c r="E23" s="100"/>
      <c r="F23" s="194"/>
      <c r="G23" s="102"/>
      <c r="H23" s="98"/>
      <c r="I23" s="92"/>
      <c r="J23" s="91"/>
      <c r="K23" s="138" t="str">
        <f>IFERROR(IF(J38&gt;=15,"THIS CONTRACTOR HAS PASSED THE STATISTICAL QUALIFICATIONS!",""), "")</f>
        <v/>
      </c>
      <c r="L23" s="138"/>
      <c r="M23" s="138"/>
    </row>
    <row r="24" spans="1:17" ht="14.45" customHeight="1" x14ac:dyDescent="0.25">
      <c r="A24" s="99" t="s">
        <v>4</v>
      </c>
      <c r="B24" s="100"/>
      <c r="C24" s="100"/>
      <c r="D24" s="100"/>
      <c r="E24" s="100"/>
      <c r="F24" s="194"/>
      <c r="G24" s="93"/>
      <c r="H24" s="98"/>
      <c r="I24" s="92" t="str">
        <f>IF(F24&lt;&gt;"",IF(G24&lt;&gt;"",IF(H24&lt;&gt;"",IF('Safety Data'!H24&gt;=0,CHAR(252),""),""),""),"")</f>
        <v/>
      </c>
      <c r="J24" s="91" t="str">
        <f>IF(F24&lt;&gt;"",IF(G24&lt;&gt;"",IF(H24&lt;&gt;"",IF('Safety Data'!H24&gt;=0,1,"0"),""),""),"")</f>
        <v/>
      </c>
      <c r="K24" s="138"/>
      <c r="L24" s="138"/>
      <c r="M24" s="138"/>
    </row>
    <row r="25" spans="1:17" ht="11.45" customHeight="1" x14ac:dyDescent="0.25">
      <c r="A25" s="99"/>
      <c r="B25" s="100"/>
      <c r="C25" s="100"/>
      <c r="D25" s="100"/>
      <c r="E25" s="100"/>
      <c r="F25" s="194"/>
      <c r="G25" s="102"/>
      <c r="H25" s="98"/>
      <c r="I25" s="92"/>
      <c r="J25" s="91"/>
      <c r="K25" s="139"/>
      <c r="L25" s="139"/>
      <c r="M25" s="139"/>
    </row>
    <row r="26" spans="1:17" ht="14.45" customHeight="1" x14ac:dyDescent="0.25">
      <c r="A26" s="130" t="s">
        <v>41</v>
      </c>
      <c r="B26" s="131"/>
      <c r="C26" s="131"/>
      <c r="D26" s="131"/>
      <c r="E26" s="132"/>
      <c r="F26" s="194"/>
      <c r="G26" s="93"/>
      <c r="H26" s="98"/>
      <c r="I26" s="92" t="str">
        <f>IF(F26&lt;&gt;"",IF(G26&lt;&gt;"",IF(H26&lt;&gt;"",IF('Safety Data'!H26&gt;=0,CHAR(252),""),""),""),"")</f>
        <v/>
      </c>
      <c r="J26" s="90" t="str">
        <f>IF(F26&lt;&gt;"",IF(G26&lt;&gt;"",IF(H26&lt;&gt;"",IF('Safety Data'!H26&gt;=0,1,"0"),""),""),"")</f>
        <v/>
      </c>
      <c r="K26" s="104" t="s">
        <v>66</v>
      </c>
      <c r="L26" s="105"/>
      <c r="M26" s="106"/>
    </row>
    <row r="27" spans="1:17" ht="11.45" customHeight="1" x14ac:dyDescent="0.25">
      <c r="A27" s="133"/>
      <c r="B27" s="134"/>
      <c r="C27" s="134"/>
      <c r="D27" s="134"/>
      <c r="E27" s="135"/>
      <c r="F27" s="194"/>
      <c r="G27" s="102"/>
      <c r="H27" s="98"/>
      <c r="I27" s="92"/>
      <c r="J27" s="90"/>
      <c r="K27" s="18" t="s">
        <v>65</v>
      </c>
      <c r="L27" s="18" t="s">
        <v>71</v>
      </c>
      <c r="M27" s="18" t="s">
        <v>31</v>
      </c>
    </row>
    <row r="28" spans="1:17" ht="11.45" customHeight="1" x14ac:dyDescent="0.25">
      <c r="A28" s="130" t="s">
        <v>42</v>
      </c>
      <c r="B28" s="131"/>
      <c r="C28" s="131"/>
      <c r="D28" s="131"/>
      <c r="E28" s="132"/>
      <c r="F28" s="93"/>
      <c r="G28" s="93"/>
      <c r="H28" s="95"/>
      <c r="I28" s="92" t="str">
        <f>IF(F28&lt;&gt;"",IF(G28&lt;&gt;"",IF(H28&lt;&gt;"",IF('Safety Data'!H28&gt;=0,CHAR(252),""),""),""),"")</f>
        <v/>
      </c>
      <c r="J28" s="90" t="str">
        <f>IF(F28&lt;&gt;"",IF(G28&lt;&gt;"",IF(H28&lt;&gt;"",IF('Safety Data'!H28&gt;=0,1,"0"),""),""),"")</f>
        <v/>
      </c>
      <c r="K28" s="113" t="str">
        <f>IF(I3&lt;&gt;"",IF(I12&lt;&gt;"",B53,""),"")</f>
        <v/>
      </c>
      <c r="L28" s="113" t="str">
        <f>IF(I3&lt;&gt;"",IF(I12&lt;&gt;"",IFERROR(A53, ""),""),"")</f>
        <v/>
      </c>
      <c r="M28" s="115" t="str">
        <f>IF(I3&lt;&gt;"",IF(I12&lt;&gt;"",IFERROR(G53, ""),""),"")</f>
        <v/>
      </c>
    </row>
    <row r="29" spans="1:17" ht="11.45" customHeight="1" x14ac:dyDescent="0.25">
      <c r="A29" s="133"/>
      <c r="B29" s="134"/>
      <c r="C29" s="134"/>
      <c r="D29" s="134"/>
      <c r="E29" s="135"/>
      <c r="F29" s="102"/>
      <c r="G29" s="102"/>
      <c r="H29" s="151"/>
      <c r="I29" s="92"/>
      <c r="J29" s="90"/>
      <c r="K29" s="114"/>
      <c r="L29" s="114"/>
      <c r="M29" s="116"/>
    </row>
    <row r="30" spans="1:17" ht="14.45" customHeight="1" x14ac:dyDescent="0.25">
      <c r="A30" s="99" t="s">
        <v>76</v>
      </c>
      <c r="B30" s="100"/>
      <c r="C30" s="100"/>
      <c r="D30" s="100"/>
      <c r="E30" s="100"/>
      <c r="F30" s="136" t="str">
        <f>IF(F26&lt;&gt;"",IF(F24&lt;&gt;"",IF(F20&lt;&gt;"",IFERROR(((F22+F24+F26)*200000)/F20,""),""),""),"")</f>
        <v/>
      </c>
      <c r="G30" s="136" t="str">
        <f>IF(G26&lt;&gt;"",IF(G24&lt;&gt;"",IF(G20&lt;&gt;"",IFERROR(((G22+G24+G26)*200000)/G20,""),""),""),"")</f>
        <v/>
      </c>
      <c r="H30" s="97" t="str">
        <f>IF(H26&lt;&gt;"",IF(H24&lt;&gt;"",IF(H20&lt;&gt;"",IFERROR(((H22+H24+H26)*200000)/H20,""),""),""),"")</f>
        <v/>
      </c>
      <c r="I30" s="92" t="str">
        <f>IF(F30&lt;&gt;"",IF(G30&lt;&gt;"",IF(H30&lt;&gt;"",IF('Safety Data'!G53&lt;=0,CHAR(252),""),""),""),"")</f>
        <v/>
      </c>
      <c r="J30" s="157" t="str">
        <f>IF(F30&lt;&gt;"",IF(G30&lt;&gt;"",IF(H30&lt;&gt;"",IF('Safety Data'!G53&lt;=0,1,"0"),""),""),"")</f>
        <v/>
      </c>
      <c r="K30" s="107" t="s">
        <v>67</v>
      </c>
      <c r="L30" s="108"/>
      <c r="M30" s="109"/>
      <c r="Q30" s="155"/>
    </row>
    <row r="31" spans="1:17" ht="10.5" customHeight="1" x14ac:dyDescent="0.25">
      <c r="A31" s="99"/>
      <c r="B31" s="100"/>
      <c r="C31" s="100"/>
      <c r="D31" s="100"/>
      <c r="E31" s="100"/>
      <c r="F31" s="136"/>
      <c r="G31" s="136"/>
      <c r="H31" s="97"/>
      <c r="I31" s="92"/>
      <c r="J31" s="158"/>
      <c r="K31" s="19" t="s">
        <v>65</v>
      </c>
      <c r="L31" s="19" t="s">
        <v>71</v>
      </c>
      <c r="M31" s="20" t="s">
        <v>31</v>
      </c>
      <c r="Q31" s="156"/>
    </row>
    <row r="32" spans="1:17" ht="14.45" customHeight="1" x14ac:dyDescent="0.25">
      <c r="A32" s="99" t="s">
        <v>77</v>
      </c>
      <c r="B32" s="100"/>
      <c r="C32" s="100"/>
      <c r="D32" s="100"/>
      <c r="E32" s="100"/>
      <c r="F32" s="101" t="str">
        <f>IF(F28&lt;&gt;"",IF(F26&lt;&gt;"",IF(F24&lt;&gt;"",IF(F22&lt;&gt;"",IFERROR((F22+F24+F26+F28),""),""),""),""),"")</f>
        <v/>
      </c>
      <c r="G32" s="101" t="str">
        <f>IF(G28&lt;&gt;"",IF(G26&lt;&gt;"",IF(G24&lt;&gt;"",IF(G22&lt;&gt;"",IFERROR((G22+G24+G26+G28),""),""),""),""),"")</f>
        <v/>
      </c>
      <c r="H32" s="129" t="str">
        <f>IF(H28&lt;&gt;"",IF(H26&lt;&gt;"",IF(H24&lt;&gt;"",IF(H22&lt;&gt;"",IFERROR((H22+H24+H26+H28),""),""),""),""),"")</f>
        <v/>
      </c>
      <c r="I32" s="92" t="str">
        <f>IF(F32&lt;&gt;"",IF(G32&lt;&gt;"",IF(H32&lt;&gt;"",IF((H32+G32+F32)=(F22+F24+G22+G24+H22+H24+F26+G26+H26+F28+G28+H28),CHAR(252),""),""),""),"")</f>
        <v/>
      </c>
      <c r="J32" s="90" t="str">
        <f>IF(F32&lt;&gt;"",IF(G32&lt;&gt;"",IF(H32&lt;&gt;"",IF((H32+G32+F32)=(F22+F24+G22+G24+H22+H24+F26+G26+H26+F28+G28+H28),1,"0"),""),""),"")</f>
        <v/>
      </c>
      <c r="K32" s="117" t="str">
        <f>IF(I3&lt;&gt;"",IF(I12&lt;&gt;"",B56,""),"")</f>
        <v/>
      </c>
      <c r="L32" s="117" t="str">
        <f>IF(I3&lt;&gt;"",IF(I12&lt;&gt;"",IFERROR(A56, ""),""),"")</f>
        <v/>
      </c>
      <c r="M32" s="119" t="str">
        <f>IF(I3&lt;&gt;"",IF(I12&lt;&gt;"",IFERROR(G56, ""),""),"")</f>
        <v/>
      </c>
      <c r="Q32" s="15"/>
    </row>
    <row r="33" spans="1:19" ht="12.95" customHeight="1" x14ac:dyDescent="0.25">
      <c r="A33" s="99"/>
      <c r="B33" s="100"/>
      <c r="C33" s="100"/>
      <c r="D33" s="100"/>
      <c r="E33" s="100"/>
      <c r="F33" s="101"/>
      <c r="G33" s="101"/>
      <c r="H33" s="129"/>
      <c r="I33" s="92"/>
      <c r="J33" s="90"/>
      <c r="K33" s="118"/>
      <c r="L33" s="118"/>
      <c r="M33" s="120"/>
      <c r="Q33" s="15"/>
    </row>
    <row r="34" spans="1:19" ht="14.45" customHeight="1" x14ac:dyDescent="0.25">
      <c r="A34" s="130" t="s">
        <v>78</v>
      </c>
      <c r="B34" s="131"/>
      <c r="C34" s="131"/>
      <c r="D34" s="131"/>
      <c r="E34" s="132"/>
      <c r="F34" s="136" t="str">
        <f>IF(F32&lt;&gt;"",IFERROR((F32*200000)/F20,""),"")</f>
        <v/>
      </c>
      <c r="G34" s="136" t="str">
        <f>IF(G32&lt;&gt;"",IFERROR((G32*200000)/G20,""),"")</f>
        <v/>
      </c>
      <c r="H34" s="97" t="str">
        <f>IF(H32&lt;&gt;"",IFERROR((H32*200000)/H20,""),"")</f>
        <v/>
      </c>
      <c r="I34" s="92" t="str">
        <f>IF(F34&lt;&gt;"",IF(G34&lt;&gt;"",IF(H34&lt;&gt;"",IF('Safety Data'!G56&lt;=0,CHAR(252),""),""),""),"")</f>
        <v/>
      </c>
      <c r="J34" s="157" t="str">
        <f>IF(F34&lt;&gt;"",IF(G34&lt;&gt;"",IF(H34&lt;&gt;"",IF('Safety Data'!G56&lt;=0,1,"0"),""),""),"")</f>
        <v/>
      </c>
      <c r="K34" s="121" t="s">
        <v>74</v>
      </c>
      <c r="L34" s="122"/>
      <c r="M34" s="17">
        <f>$C$1</f>
        <v>2024</v>
      </c>
      <c r="Q34" s="155"/>
    </row>
    <row r="35" spans="1:19" ht="14.45" customHeight="1" thickBot="1" x14ac:dyDescent="0.3">
      <c r="A35" s="133"/>
      <c r="B35" s="134"/>
      <c r="C35" s="134"/>
      <c r="D35" s="134"/>
      <c r="E35" s="135"/>
      <c r="F35" s="137"/>
      <c r="G35" s="136"/>
      <c r="H35" s="97"/>
      <c r="I35" s="92"/>
      <c r="J35" s="158"/>
      <c r="K35" s="110" t="str">
        <f>IF(I3&lt;&gt;"",IF(I12&lt;&gt;"",IFERROR(IF(E60&lt;0,"Good!","It's unlikely they will qualify next year either"), ""),""),"")</f>
        <v/>
      </c>
      <c r="L35" s="111"/>
      <c r="M35" s="112"/>
      <c r="Q35" s="156"/>
    </row>
    <row r="36" spans="1:19" ht="21.6" customHeight="1" x14ac:dyDescent="0.25">
      <c r="A36" s="99" t="s">
        <v>79</v>
      </c>
      <c r="B36" s="100"/>
      <c r="C36" s="100"/>
      <c r="D36" s="100"/>
      <c r="E36" s="159"/>
      <c r="F36" s="123"/>
      <c r="G36" s="125" t="s">
        <v>56</v>
      </c>
      <c r="H36" s="127"/>
      <c r="I36" s="92" t="str">
        <f>IF(H36&lt;&gt;"",IF(H36=0,CHAR(252),""),"")</f>
        <v/>
      </c>
      <c r="J36" s="90" t="str">
        <f>IF(H36&lt;&gt;"",IF(H36=0,1,"0"),"")</f>
        <v/>
      </c>
      <c r="K36" s="152" t="s">
        <v>73</v>
      </c>
      <c r="L36" s="153"/>
      <c r="M36" s="17">
        <f>$C$1</f>
        <v>2024</v>
      </c>
      <c r="S36" s="149"/>
    </row>
    <row r="37" spans="1:19" ht="26.45" customHeight="1" thickBot="1" x14ac:dyDescent="0.3">
      <c r="A37" s="160"/>
      <c r="B37" s="161"/>
      <c r="C37" s="161"/>
      <c r="D37" s="161"/>
      <c r="E37" s="162"/>
      <c r="F37" s="124"/>
      <c r="G37" s="126"/>
      <c r="H37" s="128"/>
      <c r="I37" s="92"/>
      <c r="J37" s="90"/>
      <c r="K37" s="154" t="str">
        <f>IF(I3&lt;&gt;"",IF(I12&lt;&gt;"",IFERROR(IF(E64&lt;0,"Good!","Bad"), ""),""),"")</f>
        <v/>
      </c>
      <c r="L37" s="154"/>
      <c r="M37" s="154"/>
      <c r="S37" s="150"/>
    </row>
    <row r="38" spans="1:19" ht="16.5" hidden="1" customHeight="1" x14ac:dyDescent="0.25">
      <c r="J38" s="22">
        <f>SUM(J3:J37)</f>
        <v>0</v>
      </c>
    </row>
    <row r="39" spans="1:19" hidden="1" x14ac:dyDescent="0.25">
      <c r="A39" s="185" t="str">
        <f>IFERROR(IF(J38&gt;=15,"THIS PORTION OF THE PRIDE APPLICATION IS READY FOR SUBMISSION!",""), "")</f>
        <v/>
      </c>
      <c r="B39" s="185"/>
      <c r="C39" s="185"/>
      <c r="D39" s="185"/>
      <c r="E39" s="185"/>
      <c r="F39" s="185"/>
      <c r="G39" s="185"/>
      <c r="H39" s="185"/>
    </row>
    <row r="40" spans="1:19" x14ac:dyDescent="0.25">
      <c r="A40" s="185"/>
      <c r="B40" s="185"/>
      <c r="C40" s="185"/>
      <c r="D40" s="185"/>
      <c r="E40" s="185"/>
      <c r="F40" s="185"/>
      <c r="G40" s="185"/>
      <c r="H40" s="185"/>
    </row>
    <row r="41" spans="1:19" x14ac:dyDescent="0.25">
      <c r="A41" s="89" t="str">
        <f>IFERROR(IF(J38&gt;=15,"Please email this entire file to your assigned AGC contact. Do not send a printed page or PDF!",""), "")</f>
        <v/>
      </c>
      <c r="B41" s="89"/>
      <c r="C41" s="89"/>
      <c r="D41" s="89"/>
      <c r="E41" s="89"/>
      <c r="F41" s="89"/>
      <c r="G41" s="89"/>
      <c r="H41" s="89"/>
    </row>
    <row r="42" spans="1:19" hidden="1" x14ac:dyDescent="0.25"/>
    <row r="43" spans="1:19" hidden="1" x14ac:dyDescent="0.25"/>
    <row r="44" spans="1:19" hidden="1" x14ac:dyDescent="0.25"/>
    <row r="45" spans="1:19" hidden="1" x14ac:dyDescent="0.25">
      <c r="A45" s="60" t="s">
        <v>38</v>
      </c>
      <c r="B45" s="61"/>
      <c r="C45" s="61"/>
      <c r="D45" s="61"/>
      <c r="E45" s="61"/>
    </row>
    <row r="46" spans="1:19" hidden="1" x14ac:dyDescent="0.25">
      <c r="A46" s="60">
        <f>F22+G22+H22</f>
        <v>0</v>
      </c>
      <c r="B46" s="61"/>
      <c r="C46" s="61"/>
      <c r="D46" s="61"/>
      <c r="E46" s="61"/>
    </row>
    <row r="47" spans="1:19" hidden="1" x14ac:dyDescent="0.25">
      <c r="A47" s="62" t="s">
        <v>69</v>
      </c>
      <c r="B47" s="63"/>
      <c r="C47" s="63"/>
      <c r="D47" s="63"/>
    </row>
    <row r="48" spans="1:19" hidden="1" x14ac:dyDescent="0.25">
      <c r="A48" s="63">
        <f>'Safety Data'!E5</f>
        <v>0</v>
      </c>
      <c r="B48" s="63" t="s">
        <v>5</v>
      </c>
      <c r="C48" s="63"/>
      <c r="D48" s="63"/>
    </row>
    <row r="49" spans="1:7" hidden="1" x14ac:dyDescent="0.25">
      <c r="A49" s="64" t="s">
        <v>68</v>
      </c>
      <c r="B49" s="65"/>
    </row>
    <row r="50" spans="1:7" hidden="1" x14ac:dyDescent="0.25">
      <c r="A50" s="66">
        <f>((('Safety Data'!F16)+('Safety Data'!G16)+('Safety Data'!H16))/3)</f>
        <v>0</v>
      </c>
      <c r="B50" s="65">
        <v>0.4</v>
      </c>
    </row>
    <row r="51" spans="1:7" hidden="1" x14ac:dyDescent="0.25">
      <c r="A51" s="67" t="s">
        <v>27</v>
      </c>
      <c r="B51" s="68"/>
      <c r="C51" s="68"/>
      <c r="D51" s="68"/>
      <c r="E51" s="68"/>
      <c r="F51" s="68"/>
      <c r="G51" s="68"/>
    </row>
    <row r="52" spans="1:7" hidden="1" x14ac:dyDescent="0.25">
      <c r="A52" s="68" t="s">
        <v>9</v>
      </c>
      <c r="B52" s="68"/>
      <c r="C52" s="68"/>
      <c r="D52" s="68"/>
      <c r="E52" s="68"/>
      <c r="F52" s="68"/>
      <c r="G52" s="68" t="s">
        <v>31</v>
      </c>
    </row>
    <row r="53" spans="1:7" hidden="1" x14ac:dyDescent="0.25">
      <c r="A53" s="69" t="e">
        <f>((F30+G30+H30)/3)</f>
        <v>#VALUE!</v>
      </c>
      <c r="B53" s="68">
        <f>INDEX('Oregon Data'!$E$6:$E$41,MATCH('Safety Data'!$D$12,'Oregon Data'!C6:C41, 0))</f>
        <v>0</v>
      </c>
      <c r="C53" s="68" t="s">
        <v>8</v>
      </c>
      <c r="D53" s="68"/>
      <c r="E53" s="68"/>
      <c r="F53" s="68"/>
      <c r="G53" s="70" t="e">
        <f>A53-B53</f>
        <v>#VALUE!</v>
      </c>
    </row>
    <row r="54" spans="1:7" hidden="1" x14ac:dyDescent="0.25">
      <c r="A54" s="71" t="s">
        <v>28</v>
      </c>
      <c r="B54" s="72"/>
      <c r="C54" s="72"/>
      <c r="D54" s="72"/>
      <c r="E54" s="72"/>
      <c r="F54" s="72"/>
      <c r="G54" s="73"/>
    </row>
    <row r="55" spans="1:7" hidden="1" x14ac:dyDescent="0.25">
      <c r="A55" s="72" t="s">
        <v>9</v>
      </c>
      <c r="B55" s="72"/>
      <c r="C55" s="72"/>
      <c r="D55" s="72"/>
      <c r="E55" s="72"/>
      <c r="F55" s="72"/>
      <c r="G55" s="72" t="s">
        <v>31</v>
      </c>
    </row>
    <row r="56" spans="1:7" hidden="1" x14ac:dyDescent="0.25">
      <c r="A56" s="74" t="e">
        <f>((F34+G34+H34)/3)</f>
        <v>#VALUE!</v>
      </c>
      <c r="B56" s="72">
        <f>INDEX('Oregon Data'!$D$6:$D$41,MATCH('Safety Data'!$D$12,'Oregon Data'!C6:C41, 0))</f>
        <v>0</v>
      </c>
      <c r="C56" s="72" t="s">
        <v>8</v>
      </c>
      <c r="D56" s="72"/>
      <c r="E56" s="72"/>
      <c r="F56" s="72"/>
      <c r="G56" s="73" t="e">
        <f>A56-B56</f>
        <v>#VALUE!</v>
      </c>
    </row>
    <row r="57" spans="1:7" hidden="1" x14ac:dyDescent="0.25">
      <c r="A57" s="75"/>
      <c r="G57" s="76"/>
    </row>
    <row r="58" spans="1:7" hidden="1" x14ac:dyDescent="0.25">
      <c r="A58" s="77" t="s">
        <v>70</v>
      </c>
      <c r="B58" s="78"/>
      <c r="C58" s="78"/>
      <c r="D58" s="79">
        <f>(F22+G22+H22+H36)*10</f>
        <v>0</v>
      </c>
      <c r="E58" s="78"/>
      <c r="F58" s="78"/>
      <c r="G58" s="80"/>
    </row>
    <row r="59" spans="1:7" hidden="1" x14ac:dyDescent="0.25">
      <c r="A59" s="81" t="s">
        <v>27</v>
      </c>
      <c r="B59" s="82" t="s">
        <v>28</v>
      </c>
      <c r="C59" s="83" t="e">
        <f>A60-B53</f>
        <v>#VALUE!</v>
      </c>
      <c r="D59" s="79" t="e">
        <f>SIGN(C59)</f>
        <v>#VALUE!</v>
      </c>
      <c r="E59" s="79"/>
      <c r="F59" s="78"/>
      <c r="G59" s="80"/>
    </row>
    <row r="60" spans="1:7" hidden="1" x14ac:dyDescent="0.25">
      <c r="A60" s="81" t="str">
        <f>IF(I3&lt;&gt;"",IF(I12&lt;&gt;"",IF(F30&lt;&gt;"",IF(G30&lt;&gt;"",((F30+G30+0)/3),""),""),""),"")</f>
        <v/>
      </c>
      <c r="B60" s="82" t="str">
        <f>IF(I3&lt;&gt;"",IF(I12&lt;&gt;"",IF(F34&lt;&gt;"",IF(G34&lt;&gt;"",((F34+G34+0)/3),""),""),""),"")</f>
        <v/>
      </c>
      <c r="C60" s="79" t="e">
        <f>B60-B56</f>
        <v>#VALUE!</v>
      </c>
      <c r="D60" s="79" t="e">
        <f>SIGN(C60)</f>
        <v>#VALUE!</v>
      </c>
      <c r="E60" s="79" t="e">
        <f>D58+D59+D60</f>
        <v>#VALUE!</v>
      </c>
      <c r="F60" s="78"/>
      <c r="G60" s="80"/>
    </row>
    <row r="61" spans="1:7" hidden="1" x14ac:dyDescent="0.25">
      <c r="A61" s="84"/>
      <c r="B61" s="85"/>
      <c r="C61" s="86"/>
      <c r="D61" s="86"/>
      <c r="E61" s="86"/>
      <c r="G61" s="76"/>
    </row>
    <row r="62" spans="1:7" hidden="1" x14ac:dyDescent="0.25">
      <c r="A62" s="77" t="s">
        <v>72</v>
      </c>
      <c r="B62" s="78"/>
      <c r="C62" s="78"/>
      <c r="D62" s="79">
        <f>(F22+G22+H22+H36)*10</f>
        <v>0</v>
      </c>
      <c r="E62" s="78"/>
      <c r="F62" s="78"/>
      <c r="G62" s="80"/>
    </row>
    <row r="63" spans="1:7" hidden="1" x14ac:dyDescent="0.25">
      <c r="A63" s="81" t="s">
        <v>27</v>
      </c>
      <c r="B63" s="82" t="s">
        <v>28</v>
      </c>
      <c r="C63" s="83" t="e">
        <f>A64-B53</f>
        <v>#VALUE!</v>
      </c>
      <c r="D63" s="79" t="e">
        <f>SIGN(C63)</f>
        <v>#VALUE!</v>
      </c>
      <c r="E63" s="79"/>
      <c r="F63" s="78"/>
      <c r="G63" s="80"/>
    </row>
    <row r="64" spans="1:7" hidden="1" x14ac:dyDescent="0.25">
      <c r="A64" s="81" t="str">
        <f>IF(F30&lt;&gt;"",IF(G30&lt;&gt;"",((F30+G30+(F30+G30)/2)/3),""),"")</f>
        <v/>
      </c>
      <c r="B64" s="82" t="str">
        <f>IF(F34&lt;&gt;"",IF(G34&lt;&gt;"",((F34+G34+((F34+G34)/2))/3),""),"")</f>
        <v/>
      </c>
      <c r="C64" s="79" t="e">
        <f>B64-B56</f>
        <v>#VALUE!</v>
      </c>
      <c r="D64" s="79" t="e">
        <f>SIGN(C64)</f>
        <v>#VALUE!</v>
      </c>
      <c r="E64" s="79" t="e">
        <f>D62+D63+D64</f>
        <v>#VALUE!</v>
      </c>
      <c r="F64" s="78"/>
      <c r="G64" s="80"/>
    </row>
    <row r="65" spans="1:9" hidden="1" x14ac:dyDescent="0.25">
      <c r="A65" s="81"/>
      <c r="B65" s="82"/>
      <c r="C65" s="79"/>
      <c r="D65" s="79"/>
      <c r="E65" s="79"/>
      <c r="F65" s="78"/>
      <c r="G65" s="80"/>
    </row>
    <row r="66" spans="1:9" hidden="1" x14ac:dyDescent="0.25"/>
    <row r="67" spans="1:9" hidden="1" x14ac:dyDescent="0.25">
      <c r="A67" t="s">
        <v>6</v>
      </c>
      <c r="E67" s="87" t="s">
        <v>7</v>
      </c>
    </row>
    <row r="68" spans="1:9" hidden="1" x14ac:dyDescent="0.25">
      <c r="A68" t="s">
        <v>29</v>
      </c>
      <c r="E68" s="87" t="s">
        <v>30</v>
      </c>
    </row>
    <row r="69" spans="1:9" hidden="1" x14ac:dyDescent="0.25">
      <c r="E69" s="87"/>
    </row>
    <row r="70" spans="1:9" hidden="1" x14ac:dyDescent="0.25"/>
    <row r="71" spans="1:9" hidden="1" x14ac:dyDescent="0.25"/>
    <row r="72" spans="1:9" ht="12.95" hidden="1" customHeight="1" x14ac:dyDescent="0.25">
      <c r="B72" s="88"/>
      <c r="C72" s="88"/>
      <c r="D72" s="88"/>
      <c r="E72" s="88"/>
      <c r="F72" s="88"/>
      <c r="G72" s="88"/>
      <c r="H72" s="88"/>
      <c r="I72" s="88"/>
    </row>
    <row r="73" spans="1:9" hidden="1" x14ac:dyDescent="0.25">
      <c r="B73" s="88"/>
      <c r="C73" s="88"/>
      <c r="D73" s="88"/>
      <c r="E73" s="88"/>
      <c r="F73" s="88"/>
      <c r="G73" s="88"/>
      <c r="H73" s="88"/>
      <c r="I73" s="88"/>
    </row>
    <row r="74" spans="1:9" ht="8.25" hidden="1" customHeight="1" x14ac:dyDescent="0.25"/>
  </sheetData>
  <sheetProtection algorithmName="SHA-512" hashValue="Cud/akCq51gRyF/xLDvu1hplCMFiTJ5+CcXWB/BiSKOqBkokHwCc3HyApfcTVqYmySndbAcn/AnW6+xNwRjVnA==" saltValue="mda6WWDiYW4YcbYyBCxPaQ==" spinCount="100000" sheet="1" objects="1" scenarios="1"/>
  <mergeCells count="101">
    <mergeCell ref="A39:H40"/>
    <mergeCell ref="H26:H27"/>
    <mergeCell ref="G20:G21"/>
    <mergeCell ref="G22:G23"/>
    <mergeCell ref="H22:H23"/>
    <mergeCell ref="F30:F31"/>
    <mergeCell ref="G30:G31"/>
    <mergeCell ref="A1:B1"/>
    <mergeCell ref="A15:E15"/>
    <mergeCell ref="A4:D4"/>
    <mergeCell ref="A5:D7"/>
    <mergeCell ref="E5:E7"/>
    <mergeCell ref="F24:F25"/>
    <mergeCell ref="F26:F27"/>
    <mergeCell ref="F20:F21"/>
    <mergeCell ref="F22:F23"/>
    <mergeCell ref="G24:G25"/>
    <mergeCell ref="A18:E19"/>
    <mergeCell ref="A20:E21"/>
    <mergeCell ref="A22:E23"/>
    <mergeCell ref="A24:E25"/>
    <mergeCell ref="A26:E27"/>
    <mergeCell ref="A2:H2"/>
    <mergeCell ref="A10:E10"/>
    <mergeCell ref="F10:H10"/>
    <mergeCell ref="A3:C3"/>
    <mergeCell ref="I5:I7"/>
    <mergeCell ref="D3:H3"/>
    <mergeCell ref="F5:F7"/>
    <mergeCell ref="A11:C13"/>
    <mergeCell ref="D12:H13"/>
    <mergeCell ref="A9:E9"/>
    <mergeCell ref="F9:H9"/>
    <mergeCell ref="I20:I21"/>
    <mergeCell ref="I18:I19"/>
    <mergeCell ref="H18:H19"/>
    <mergeCell ref="H20:H21"/>
    <mergeCell ref="G18:G19"/>
    <mergeCell ref="A16:E16"/>
    <mergeCell ref="A17:E17"/>
    <mergeCell ref="F18:F19"/>
    <mergeCell ref="S36:S37"/>
    <mergeCell ref="A28:E29"/>
    <mergeCell ref="F28:F29"/>
    <mergeCell ref="G28:G29"/>
    <mergeCell ref="H28:H29"/>
    <mergeCell ref="I28:I29"/>
    <mergeCell ref="K36:L36"/>
    <mergeCell ref="K37:M37"/>
    <mergeCell ref="Q30:Q31"/>
    <mergeCell ref="Q34:Q35"/>
    <mergeCell ref="J30:J31"/>
    <mergeCell ref="J34:J35"/>
    <mergeCell ref="I32:I33"/>
    <mergeCell ref="I30:I31"/>
    <mergeCell ref="I34:I35"/>
    <mergeCell ref="A36:E37"/>
    <mergeCell ref="F36:F37"/>
    <mergeCell ref="G36:G37"/>
    <mergeCell ref="H36:H37"/>
    <mergeCell ref="I36:I37"/>
    <mergeCell ref="H32:H33"/>
    <mergeCell ref="A34:E35"/>
    <mergeCell ref="F34:F35"/>
    <mergeCell ref="G34:G35"/>
    <mergeCell ref="K23:M25"/>
    <mergeCell ref="K20:M22"/>
    <mergeCell ref="K26:M26"/>
    <mergeCell ref="K30:M30"/>
    <mergeCell ref="K35:M35"/>
    <mergeCell ref="K28:K29"/>
    <mergeCell ref="L28:L29"/>
    <mergeCell ref="M28:M29"/>
    <mergeCell ref="K32:K33"/>
    <mergeCell ref="L32:L33"/>
    <mergeCell ref="M32:M33"/>
    <mergeCell ref="K34:L34"/>
    <mergeCell ref="A41:H41"/>
    <mergeCell ref="J26:J27"/>
    <mergeCell ref="J28:J29"/>
    <mergeCell ref="J32:J33"/>
    <mergeCell ref="J36:J37"/>
    <mergeCell ref="J12:J13"/>
    <mergeCell ref="J5:J7"/>
    <mergeCell ref="J20:J21"/>
    <mergeCell ref="J22:J23"/>
    <mergeCell ref="J24:J25"/>
    <mergeCell ref="I12:I13"/>
    <mergeCell ref="G5:G7"/>
    <mergeCell ref="H5:H7"/>
    <mergeCell ref="I22:I23"/>
    <mergeCell ref="I24:I25"/>
    <mergeCell ref="I26:I27"/>
    <mergeCell ref="H34:H35"/>
    <mergeCell ref="H30:H31"/>
    <mergeCell ref="H24:H25"/>
    <mergeCell ref="A30:E31"/>
    <mergeCell ref="A32:E33"/>
    <mergeCell ref="F32:F33"/>
    <mergeCell ref="G32:G33"/>
    <mergeCell ref="G26:G27"/>
  </mergeCells>
  <hyperlinks>
    <hyperlink ref="E67" r:id="rId1" xr:uid="{B7BDD299-9910-41FC-A5FE-023FEB13C08E}"/>
    <hyperlink ref="E68" r:id="rId2" xr:uid="{9A73E4E8-5D73-4DDC-999A-DC2F473B1D9B}"/>
  </hyperlinks>
  <pageMargins left="0.9" right="0" top="0.5" bottom="0.25" header="0" footer="0"/>
  <pageSetup orientation="portrait" r:id="rId3"/>
  <ignoredErrors>
    <ignoredError sqref="F32:H32 I3" unlockedFormula="1"/>
  </ignoredErrors>
  <drawing r:id="rId4"/>
  <extLst>
    <ext xmlns:x14="http://schemas.microsoft.com/office/spreadsheetml/2009/9/main" uri="{CCE6A557-97BC-4b89-ADB6-D9C93CAAB3DF}">
      <x14:dataValidations xmlns:xm="http://schemas.microsoft.com/office/excel/2006/main" count="1">
        <x14:dataValidation type="list" showInputMessage="1" showErrorMessage="1" xr:uid="{6ADE43AF-578F-4D79-AFC4-DCC1DC348EBB}">
          <x14:formula1>
            <xm:f>'Oregon Data'!$C$6:$C$22</xm:f>
          </x14:formula1>
          <xm:sqref>D12:H13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5481E-F9DA-4C81-BD93-F9DDD3030B67}">
  <dimension ref="A2:I6"/>
  <sheetViews>
    <sheetView workbookViewId="0">
      <selection activeCell="I11" sqref="I11"/>
    </sheetView>
  </sheetViews>
  <sheetFormatPr defaultRowHeight="15" x14ac:dyDescent="0.25"/>
  <cols>
    <col min="6" max="6" width="9.42578125" customWidth="1"/>
    <col min="7" max="7" width="11.85546875" customWidth="1"/>
  </cols>
  <sheetData>
    <row r="2" spans="1:9" x14ac:dyDescent="0.25">
      <c r="A2" s="2" t="s">
        <v>40</v>
      </c>
    </row>
    <row r="3" spans="1:9" x14ac:dyDescent="0.25">
      <c r="A3" s="205" t="s">
        <v>39</v>
      </c>
      <c r="B3" s="206"/>
      <c r="C3" s="206"/>
      <c r="D3" s="206"/>
      <c r="E3" s="206"/>
      <c r="F3" s="10">
        <f>INDEX('Oregon Data'!$A$6:$A$41,MATCH('Safety Data'!$D$12,'Oregon Data'!C6:C41, 0))</f>
        <v>0</v>
      </c>
      <c r="G3" s="8" t="s">
        <v>46</v>
      </c>
      <c r="H3" s="8" t="s">
        <v>45</v>
      </c>
      <c r="I3" s="8" t="s">
        <v>31</v>
      </c>
    </row>
    <row r="4" spans="1:9" x14ac:dyDescent="0.25">
      <c r="A4" s="207" t="s">
        <v>43</v>
      </c>
      <c r="B4" s="208"/>
      <c r="C4" s="208"/>
      <c r="D4" s="208"/>
      <c r="E4" s="208"/>
      <c r="F4" s="209"/>
      <c r="G4" s="8">
        <f>'Safety Data'!B53</f>
        <v>0</v>
      </c>
      <c r="H4" s="9" t="e">
        <f>'Safety Data'!A53</f>
        <v>#VALUE!</v>
      </c>
      <c r="I4" s="9" t="e">
        <f>H4-G4</f>
        <v>#VALUE!</v>
      </c>
    </row>
    <row r="5" spans="1:9" x14ac:dyDescent="0.25">
      <c r="A5" s="207" t="s">
        <v>44</v>
      </c>
      <c r="B5" s="208"/>
      <c r="C5" s="208"/>
      <c r="D5" s="208"/>
      <c r="E5" s="208"/>
      <c r="F5" s="209"/>
      <c r="G5" s="8">
        <f>'Safety Data'!B56</f>
        <v>0</v>
      </c>
      <c r="H5" s="9" t="e">
        <f>'Safety Data'!A56</f>
        <v>#VALUE!</v>
      </c>
      <c r="I5" s="9" t="e">
        <f>H5-G5</f>
        <v>#VALUE!</v>
      </c>
    </row>
    <row r="6" spans="1:9" x14ac:dyDescent="0.25">
      <c r="A6" s="203" t="s">
        <v>48</v>
      </c>
      <c r="B6" s="203"/>
      <c r="C6" s="203"/>
      <c r="D6" s="203"/>
      <c r="E6" s="203"/>
      <c r="F6" s="203"/>
      <c r="G6" s="204"/>
      <c r="H6" s="12"/>
      <c r="I6" s="11">
        <f>SUM('Safety Data'!F24:H29)-SUM('Safety Data'!F32:H33)</f>
        <v>0</v>
      </c>
    </row>
  </sheetData>
  <mergeCells count="4">
    <mergeCell ref="A6:G6"/>
    <mergeCell ref="A3:E3"/>
    <mergeCell ref="A4:F4"/>
    <mergeCell ref="A5:F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891D2-782E-4E74-9956-18485B1A9B71}">
  <dimension ref="A1:O22"/>
  <sheetViews>
    <sheetView workbookViewId="0">
      <pane ySplit="5" topLeftCell="A6" activePane="bottomLeft" state="frozen"/>
      <selection activeCell="I11" sqref="I11"/>
      <selection pane="bottomLeft" activeCell="I11" sqref="I11"/>
    </sheetView>
  </sheetViews>
  <sheetFormatPr defaultRowHeight="15" x14ac:dyDescent="0.25"/>
  <cols>
    <col min="1" max="1" width="11.5703125" customWidth="1"/>
    <col min="2" max="2" width="52.7109375" bestFit="1" customWidth="1"/>
    <col min="3" max="3" width="50.5703125" bestFit="1" customWidth="1"/>
    <col min="7" max="7" width="9.5703125" bestFit="1" customWidth="1"/>
    <col min="9" max="9" width="12.7109375" customWidth="1"/>
  </cols>
  <sheetData>
    <row r="1" spans="1:15" ht="33.950000000000003" customHeight="1" x14ac:dyDescent="0.25">
      <c r="A1" s="210" t="s">
        <v>11</v>
      </c>
      <c r="B1" s="210"/>
      <c r="C1" s="210"/>
      <c r="D1" s="210"/>
      <c r="E1" s="222" t="s">
        <v>85</v>
      </c>
      <c r="F1" s="222"/>
      <c r="G1" s="222"/>
      <c r="H1" s="222"/>
      <c r="I1" s="222"/>
    </row>
    <row r="2" spans="1:15" x14ac:dyDescent="0.25">
      <c r="A2" s="221"/>
      <c r="B2" s="221"/>
      <c r="C2" s="1"/>
    </row>
    <row r="3" spans="1:15" x14ac:dyDescent="0.25">
      <c r="A3" s="221"/>
      <c r="B3" s="221"/>
      <c r="C3" s="1"/>
      <c r="D3" s="1"/>
    </row>
    <row r="4" spans="1:15" x14ac:dyDescent="0.25">
      <c r="A4" s="1"/>
      <c r="B4" s="1"/>
      <c r="C4" s="1"/>
      <c r="D4" s="220" t="s">
        <v>75</v>
      </c>
      <c r="E4" s="220"/>
      <c r="F4" s="220"/>
      <c r="G4" s="217" t="s">
        <v>83</v>
      </c>
      <c r="H4" s="218"/>
      <c r="I4" s="219"/>
      <c r="J4" s="214" t="s">
        <v>60</v>
      </c>
      <c r="K4" s="215"/>
      <c r="L4" s="216"/>
      <c r="M4" s="211" t="s">
        <v>61</v>
      </c>
      <c r="N4" s="212"/>
      <c r="O4" s="213"/>
    </row>
    <row r="5" spans="1:15" x14ac:dyDescent="0.25">
      <c r="A5" s="2" t="s">
        <v>10</v>
      </c>
      <c r="B5" s="2" t="s">
        <v>12</v>
      </c>
      <c r="C5" s="2" t="s">
        <v>33</v>
      </c>
      <c r="D5" s="23" t="s">
        <v>28</v>
      </c>
      <c r="E5" s="23" t="s">
        <v>27</v>
      </c>
      <c r="F5" s="23" t="s">
        <v>32</v>
      </c>
      <c r="G5" s="25" t="s">
        <v>28</v>
      </c>
      <c r="H5" s="25" t="s">
        <v>27</v>
      </c>
      <c r="I5" s="25" t="s">
        <v>32</v>
      </c>
      <c r="J5" s="27" t="s">
        <v>28</v>
      </c>
      <c r="K5" s="27" t="s">
        <v>27</v>
      </c>
      <c r="L5" s="27" t="s">
        <v>32</v>
      </c>
      <c r="M5" s="29" t="s">
        <v>28</v>
      </c>
      <c r="N5" s="29" t="s">
        <v>27</v>
      </c>
      <c r="O5" s="29" t="s">
        <v>32</v>
      </c>
    </row>
    <row r="6" spans="1:15" x14ac:dyDescent="0.25">
      <c r="A6">
        <v>0</v>
      </c>
      <c r="B6" t="s">
        <v>34</v>
      </c>
      <c r="C6" t="s">
        <v>34</v>
      </c>
      <c r="D6" s="24"/>
      <c r="E6" s="24"/>
      <c r="F6" s="24"/>
      <c r="G6" s="26"/>
      <c r="H6" s="26"/>
      <c r="I6" s="26"/>
      <c r="J6" s="28"/>
      <c r="K6" s="28"/>
      <c r="L6" s="28"/>
      <c r="M6" s="30"/>
      <c r="N6" s="30"/>
      <c r="O6" s="30"/>
    </row>
    <row r="7" spans="1:15" x14ac:dyDescent="0.25">
      <c r="A7">
        <v>236000</v>
      </c>
      <c r="B7" t="s">
        <v>13</v>
      </c>
      <c r="C7" t="str">
        <f t="shared" ref="C7:C18" si="0">_xlfn.CONCAT(A7, " ", B7)</f>
        <v>236000 Construction of Buildings</v>
      </c>
      <c r="D7" s="24">
        <f>SUM(G7,J7,M7)/3</f>
        <v>4.2333333333333334</v>
      </c>
      <c r="E7" s="24">
        <f>SUM(H7,K7,N7)/3</f>
        <v>2.1</v>
      </c>
      <c r="F7" s="24"/>
      <c r="G7" s="49">
        <v>5</v>
      </c>
      <c r="H7" s="26">
        <v>2.5</v>
      </c>
      <c r="I7" s="26"/>
      <c r="J7" s="28">
        <v>3.1</v>
      </c>
      <c r="K7" s="28">
        <v>1.8</v>
      </c>
      <c r="L7" s="28"/>
      <c r="M7" s="30">
        <v>4.5999999999999996</v>
      </c>
      <c r="N7" s="50">
        <v>2</v>
      </c>
      <c r="O7" s="30"/>
    </row>
    <row r="8" spans="1:15" x14ac:dyDescent="0.25">
      <c r="A8">
        <v>236100</v>
      </c>
      <c r="B8" t="s">
        <v>14</v>
      </c>
      <c r="C8" t="str">
        <f t="shared" si="0"/>
        <v>236100 Residential building construction</v>
      </c>
      <c r="D8" s="24">
        <f t="shared" ref="D8:D22" si="1">SUM(G8,J8,M8)/3</f>
        <v>4.7</v>
      </c>
      <c r="E8" s="24">
        <f t="shared" ref="E8:E22" si="2">SUM(H8,K8,N8)/3</f>
        <v>2.3000000000000003</v>
      </c>
      <c r="F8" s="24"/>
      <c r="G8" s="26">
        <v>7.2</v>
      </c>
      <c r="H8" s="26">
        <v>3.4</v>
      </c>
      <c r="I8" s="26"/>
      <c r="J8" s="28">
        <v>2.2999999999999998</v>
      </c>
      <c r="K8" s="28">
        <v>1.8</v>
      </c>
      <c r="L8" s="28"/>
      <c r="M8" s="30">
        <v>4.5999999999999996</v>
      </c>
      <c r="N8" s="30">
        <v>1.7</v>
      </c>
      <c r="O8" s="30"/>
    </row>
    <row r="9" spans="1:15" x14ac:dyDescent="0.25">
      <c r="A9">
        <v>236200</v>
      </c>
      <c r="B9" t="s">
        <v>15</v>
      </c>
      <c r="C9" t="str">
        <f t="shared" si="0"/>
        <v>236200 Nonresidential building construction</v>
      </c>
      <c r="D9" s="24">
        <f t="shared" si="1"/>
        <v>3.5333333333333332</v>
      </c>
      <c r="E9" s="24">
        <f t="shared" si="2"/>
        <v>1.8666666666666665</v>
      </c>
      <c r="F9" s="24"/>
      <c r="G9" s="26">
        <v>1.8</v>
      </c>
      <c r="H9" s="26">
        <v>1.2</v>
      </c>
      <c r="I9" s="26"/>
      <c r="J9" s="28">
        <v>4.2</v>
      </c>
      <c r="K9" s="51">
        <v>2</v>
      </c>
      <c r="L9" s="28"/>
      <c r="M9" s="30">
        <v>4.5999999999999996</v>
      </c>
      <c r="N9" s="30">
        <v>2.4</v>
      </c>
      <c r="O9" s="30"/>
    </row>
    <row r="10" spans="1:15" x14ac:dyDescent="0.25">
      <c r="A10">
        <v>237000</v>
      </c>
      <c r="B10" t="s">
        <v>17</v>
      </c>
      <c r="C10" t="str">
        <f t="shared" si="0"/>
        <v>237000 Heavy and civil construction</v>
      </c>
      <c r="D10" s="24">
        <f t="shared" si="1"/>
        <v>4.0333333333333341</v>
      </c>
      <c r="E10" s="24">
        <f t="shared" si="2"/>
        <v>2.2333333333333334</v>
      </c>
      <c r="F10" s="24"/>
      <c r="G10" s="49">
        <v>4</v>
      </c>
      <c r="H10" s="26">
        <v>1.6</v>
      </c>
      <c r="I10" s="26"/>
      <c r="J10" s="28">
        <v>3.2</v>
      </c>
      <c r="K10" s="51">
        <v>2</v>
      </c>
      <c r="L10" s="28"/>
      <c r="M10" s="30">
        <v>4.9000000000000004</v>
      </c>
      <c r="N10" s="30">
        <v>3.1</v>
      </c>
      <c r="O10" s="30"/>
    </row>
    <row r="11" spans="1:15" x14ac:dyDescent="0.25">
      <c r="A11">
        <v>237100</v>
      </c>
      <c r="B11" t="s">
        <v>16</v>
      </c>
      <c r="C11" t="str">
        <f t="shared" si="0"/>
        <v>237100 Utility system construction</v>
      </c>
      <c r="D11" s="24">
        <f t="shared" si="1"/>
        <v>4.1333333333333337</v>
      </c>
      <c r="E11" s="24">
        <f t="shared" si="2"/>
        <v>2.5666666666666664</v>
      </c>
      <c r="F11" s="24"/>
      <c r="G11" s="26">
        <v>4.5999999999999996</v>
      </c>
      <c r="H11" s="26">
        <v>1.9</v>
      </c>
      <c r="I11" s="26"/>
      <c r="J11" s="28">
        <v>3.9</v>
      </c>
      <c r="K11" s="28">
        <v>2.9</v>
      </c>
      <c r="L11" s="28" t="s">
        <v>63</v>
      </c>
      <c r="M11" s="30">
        <v>3.9</v>
      </c>
      <c r="N11" s="30">
        <v>2.9</v>
      </c>
      <c r="O11" s="30"/>
    </row>
    <row r="12" spans="1:15" x14ac:dyDescent="0.25">
      <c r="A12">
        <v>237300</v>
      </c>
      <c r="B12" t="s">
        <v>18</v>
      </c>
      <c r="C12" t="str">
        <f t="shared" si="0"/>
        <v>237300 Highway, street, and bridge construction</v>
      </c>
      <c r="D12" s="24">
        <f t="shared" si="1"/>
        <v>4.6333333333333337</v>
      </c>
      <c r="E12" s="24">
        <f t="shared" si="2"/>
        <v>2.4333333333333331</v>
      </c>
      <c r="F12" s="24"/>
      <c r="G12" s="49">
        <v>4</v>
      </c>
      <c r="H12" s="26">
        <v>1.5</v>
      </c>
      <c r="I12" s="26"/>
      <c r="J12" s="28">
        <v>2.4</v>
      </c>
      <c r="K12" s="28">
        <v>1.7</v>
      </c>
      <c r="L12" s="28"/>
      <c r="M12" s="30">
        <v>7.5</v>
      </c>
      <c r="N12" s="30">
        <v>4.0999999999999996</v>
      </c>
      <c r="O12" s="30"/>
    </row>
    <row r="13" spans="1:15" x14ac:dyDescent="0.25">
      <c r="A13">
        <v>238000</v>
      </c>
      <c r="B13" t="s">
        <v>47</v>
      </c>
      <c r="C13" t="str">
        <f t="shared" si="0"/>
        <v>238000 Specialty trade contractors</v>
      </c>
      <c r="D13" s="24">
        <f t="shared" si="1"/>
        <v>4.1333333333333329</v>
      </c>
      <c r="E13" s="24">
        <f t="shared" si="2"/>
        <v>2.5333333333333332</v>
      </c>
      <c r="F13" s="24"/>
      <c r="G13" s="26">
        <v>5.2</v>
      </c>
      <c r="H13" s="49">
        <v>3</v>
      </c>
      <c r="I13" s="26"/>
      <c r="J13" s="51">
        <v>4</v>
      </c>
      <c r="K13" s="28">
        <v>2.6</v>
      </c>
      <c r="L13" s="28"/>
      <c r="M13" s="30">
        <v>3.2</v>
      </c>
      <c r="N13" s="50">
        <v>2</v>
      </c>
      <c r="O13" s="30"/>
    </row>
    <row r="14" spans="1:15" x14ac:dyDescent="0.25">
      <c r="A14">
        <v>238100</v>
      </c>
      <c r="B14" t="s">
        <v>20</v>
      </c>
      <c r="C14" t="str">
        <f t="shared" si="0"/>
        <v>238100 Foundation, structure, and building exterior contractors</v>
      </c>
      <c r="D14" s="24">
        <f t="shared" si="1"/>
        <v>6.2666666666666666</v>
      </c>
      <c r="E14" s="24">
        <f t="shared" si="2"/>
        <v>3.9333333333333336</v>
      </c>
      <c r="F14" s="24"/>
      <c r="G14" s="26">
        <v>6.5</v>
      </c>
      <c r="H14" s="26">
        <v>3.9</v>
      </c>
      <c r="I14" s="26"/>
      <c r="J14" s="51">
        <v>8</v>
      </c>
      <c r="K14" s="28">
        <v>5.6</v>
      </c>
      <c r="L14" s="28"/>
      <c r="M14" s="30">
        <v>4.3</v>
      </c>
      <c r="N14" s="30">
        <v>2.2999999999999998</v>
      </c>
      <c r="O14" s="30"/>
    </row>
    <row r="15" spans="1:15" x14ac:dyDescent="0.25">
      <c r="A15">
        <v>238110</v>
      </c>
      <c r="B15" t="s">
        <v>19</v>
      </c>
      <c r="C15" t="str">
        <f t="shared" si="0"/>
        <v>238110 Poured concrete, foundation, and structure contractors</v>
      </c>
      <c r="D15" s="24">
        <f t="shared" si="1"/>
        <v>5.4000000000000012</v>
      </c>
      <c r="E15" s="24">
        <f t="shared" si="2"/>
        <v>1.9666666666666668</v>
      </c>
      <c r="F15" s="24"/>
      <c r="G15" s="26">
        <v>5.4</v>
      </c>
      <c r="H15" s="26">
        <v>1.8</v>
      </c>
      <c r="I15" s="26" t="s">
        <v>62</v>
      </c>
      <c r="J15" s="28">
        <v>5.4</v>
      </c>
      <c r="K15" s="28">
        <v>1.8</v>
      </c>
      <c r="L15" s="28" t="s">
        <v>62</v>
      </c>
      <c r="M15" s="30">
        <v>5.4</v>
      </c>
      <c r="N15" s="30">
        <v>2.2999999999999998</v>
      </c>
      <c r="O15" s="30"/>
    </row>
    <row r="16" spans="1:15" x14ac:dyDescent="0.25">
      <c r="A16">
        <v>238160</v>
      </c>
      <c r="B16" t="s">
        <v>21</v>
      </c>
      <c r="C16" t="str">
        <f t="shared" si="0"/>
        <v>238160 Roofing contractor</v>
      </c>
      <c r="D16" s="24">
        <f t="shared" si="1"/>
        <v>8.6666666666666661</v>
      </c>
      <c r="E16" s="24">
        <f t="shared" si="2"/>
        <v>5.666666666666667</v>
      </c>
      <c r="F16" s="24"/>
      <c r="G16" s="26">
        <v>11.8</v>
      </c>
      <c r="H16" s="26">
        <v>7.1</v>
      </c>
      <c r="I16" s="26"/>
      <c r="J16" s="28">
        <v>8.1999999999999993</v>
      </c>
      <c r="K16" s="28">
        <v>5.7</v>
      </c>
      <c r="L16" s="28"/>
      <c r="M16" s="50">
        <v>6</v>
      </c>
      <c r="N16" s="30">
        <v>4.2</v>
      </c>
      <c r="O16" s="30"/>
    </row>
    <row r="17" spans="1:15" x14ac:dyDescent="0.25">
      <c r="A17">
        <v>238200</v>
      </c>
      <c r="B17" t="s">
        <v>22</v>
      </c>
      <c r="C17" t="str">
        <f t="shared" si="0"/>
        <v>238200 Building equipment contractors</v>
      </c>
      <c r="D17" s="24">
        <f t="shared" si="1"/>
        <v>3.1666666666666665</v>
      </c>
      <c r="E17" s="24">
        <f t="shared" si="2"/>
        <v>1.7666666666666666</v>
      </c>
      <c r="F17" s="24"/>
      <c r="G17" s="26">
        <v>3.9</v>
      </c>
      <c r="H17" s="26">
        <v>2.2000000000000002</v>
      </c>
      <c r="I17" s="26"/>
      <c r="J17" s="28">
        <v>3.1</v>
      </c>
      <c r="K17" s="28">
        <v>1.3</v>
      </c>
      <c r="L17" s="28"/>
      <c r="M17" s="30">
        <v>2.5</v>
      </c>
      <c r="N17" s="30">
        <v>1.8</v>
      </c>
      <c r="O17" s="30"/>
    </row>
    <row r="18" spans="1:15" x14ac:dyDescent="0.25">
      <c r="A18">
        <v>238210</v>
      </c>
      <c r="B18" t="s">
        <v>23</v>
      </c>
      <c r="C18" t="str">
        <f t="shared" si="0"/>
        <v>238210 Electrical contractors and other wiring installation contractors</v>
      </c>
      <c r="D18" s="24">
        <f t="shared" si="1"/>
        <v>2.8000000000000003</v>
      </c>
      <c r="E18" s="24">
        <f t="shared" si="2"/>
        <v>1.4333333333333336</v>
      </c>
      <c r="F18" s="24"/>
      <c r="G18" s="49">
        <v>3</v>
      </c>
      <c r="H18" s="26">
        <v>1.1000000000000001</v>
      </c>
      <c r="I18" s="26"/>
      <c r="J18" s="28">
        <v>2.7</v>
      </c>
      <c r="K18" s="51">
        <v>1</v>
      </c>
      <c r="L18" s="28"/>
      <c r="M18" s="30">
        <v>2.7</v>
      </c>
      <c r="N18" s="30">
        <v>2.2000000000000002</v>
      </c>
      <c r="O18" s="30"/>
    </row>
    <row r="19" spans="1:15" x14ac:dyDescent="0.25">
      <c r="A19">
        <v>238220</v>
      </c>
      <c r="B19" t="s">
        <v>24</v>
      </c>
      <c r="C19" t="str">
        <f>_xlfn.CONCAT(A19, " ", B19)</f>
        <v>238220 Plumbing, heating, and air-conditioning contractors</v>
      </c>
      <c r="D19" s="24">
        <f t="shared" si="1"/>
        <v>3.9666666666666663</v>
      </c>
      <c r="E19" s="24">
        <f t="shared" si="2"/>
        <v>2.2666666666666666</v>
      </c>
      <c r="F19" s="24"/>
      <c r="G19" s="26">
        <v>5.0999999999999996</v>
      </c>
      <c r="H19" s="26">
        <v>3.3</v>
      </c>
      <c r="I19" s="26"/>
      <c r="J19" s="51">
        <v>4</v>
      </c>
      <c r="K19" s="28">
        <v>1.7</v>
      </c>
      <c r="L19" s="28"/>
      <c r="M19" s="30">
        <v>2.8</v>
      </c>
      <c r="N19" s="30">
        <v>1.8</v>
      </c>
      <c r="O19" s="30"/>
    </row>
    <row r="20" spans="1:15" x14ac:dyDescent="0.25">
      <c r="A20">
        <v>238290</v>
      </c>
      <c r="B20" t="s">
        <v>64</v>
      </c>
      <c r="C20" t="str">
        <f>_xlfn.CONCAT(A20, " ", B20)</f>
        <v>238290 Other building equipment contractors</v>
      </c>
      <c r="D20" s="24">
        <f t="shared" si="1"/>
        <v>1.1000000000000001</v>
      </c>
      <c r="E20" s="24">
        <f t="shared" si="2"/>
        <v>1</v>
      </c>
      <c r="F20" s="24"/>
      <c r="G20" s="26">
        <v>1.1000000000000001</v>
      </c>
      <c r="H20" s="49">
        <v>1</v>
      </c>
      <c r="I20" s="26" t="s">
        <v>84</v>
      </c>
      <c r="J20" s="28">
        <v>1.1000000000000001</v>
      </c>
      <c r="K20" s="51">
        <v>1</v>
      </c>
      <c r="L20" s="28"/>
      <c r="M20" s="30">
        <v>1.1000000000000001</v>
      </c>
      <c r="N20" s="50">
        <v>1</v>
      </c>
      <c r="O20" s="30" t="s">
        <v>84</v>
      </c>
    </row>
    <row r="21" spans="1:15" x14ac:dyDescent="0.25">
      <c r="A21">
        <v>238300</v>
      </c>
      <c r="B21" t="s">
        <v>25</v>
      </c>
      <c r="C21" t="str">
        <f t="shared" ref="C21:C22" si="3">_xlfn.CONCAT(A21, " ", B21)</f>
        <v>238300 Building finishing contractors</v>
      </c>
      <c r="D21" s="24">
        <f t="shared" si="1"/>
        <v>4.9333333333333327</v>
      </c>
      <c r="E21" s="24">
        <f t="shared" si="2"/>
        <v>3.8000000000000003</v>
      </c>
      <c r="F21" s="24"/>
      <c r="G21" s="26">
        <v>5.3</v>
      </c>
      <c r="H21" s="26">
        <v>4.5</v>
      </c>
      <c r="I21" s="26"/>
      <c r="J21" s="28">
        <v>4.0999999999999996</v>
      </c>
      <c r="K21" s="28">
        <v>3.8</v>
      </c>
      <c r="L21" s="28"/>
      <c r="M21" s="30">
        <v>5.4</v>
      </c>
      <c r="N21" s="30">
        <v>3.1</v>
      </c>
      <c r="O21" s="30"/>
    </row>
    <row r="22" spans="1:15" x14ac:dyDescent="0.25">
      <c r="A22">
        <v>238310</v>
      </c>
      <c r="B22" t="s">
        <v>26</v>
      </c>
      <c r="C22" t="str">
        <f t="shared" si="3"/>
        <v>238310 Drywall installation and repair contractors</v>
      </c>
      <c r="D22" s="24">
        <f t="shared" si="1"/>
        <v>3.9666666666666668</v>
      </c>
      <c r="E22" s="24">
        <f t="shared" si="2"/>
        <v>2.6</v>
      </c>
      <c r="F22" s="24"/>
      <c r="G22" s="26">
        <v>1.9</v>
      </c>
      <c r="H22" s="49">
        <v>1</v>
      </c>
      <c r="I22" s="26"/>
      <c r="J22" s="51">
        <v>5</v>
      </c>
      <c r="K22" s="28">
        <v>3.4</v>
      </c>
      <c r="L22" s="28" t="s">
        <v>63</v>
      </c>
      <c r="M22" s="50">
        <v>5</v>
      </c>
      <c r="N22" s="30">
        <v>3.4</v>
      </c>
      <c r="O22" s="30"/>
    </row>
  </sheetData>
  <mergeCells count="8">
    <mergeCell ref="A1:D1"/>
    <mergeCell ref="M4:O4"/>
    <mergeCell ref="J4:L4"/>
    <mergeCell ref="G4:I4"/>
    <mergeCell ref="D4:F4"/>
    <mergeCell ref="A2:B2"/>
    <mergeCell ref="A3:B3"/>
    <mergeCell ref="E1:I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807FE-9058-47D6-BDAE-E0D70E67A3CC}">
  <dimension ref="A2:A8"/>
  <sheetViews>
    <sheetView workbookViewId="0">
      <selection activeCell="I11" sqref="I11"/>
    </sheetView>
  </sheetViews>
  <sheetFormatPr defaultRowHeight="15" x14ac:dyDescent="0.25"/>
  <sheetData>
    <row r="2" spans="1:1" x14ac:dyDescent="0.25">
      <c r="A2" t="s">
        <v>49</v>
      </c>
    </row>
    <row r="3" spans="1:1" x14ac:dyDescent="0.25">
      <c r="A3" t="s">
        <v>53</v>
      </c>
    </row>
    <row r="4" spans="1:1" x14ac:dyDescent="0.25">
      <c r="A4" t="s">
        <v>50</v>
      </c>
    </row>
    <row r="5" spans="1:1" x14ac:dyDescent="0.25">
      <c r="A5" t="s">
        <v>51</v>
      </c>
    </row>
    <row r="6" spans="1:1" x14ac:dyDescent="0.25">
      <c r="A6" t="s">
        <v>52</v>
      </c>
    </row>
    <row r="7" spans="1:1" x14ac:dyDescent="0.25">
      <c r="A7" t="s">
        <v>54</v>
      </c>
    </row>
    <row r="8" spans="1:1" x14ac:dyDescent="0.25">
      <c r="A8" t="s">
        <v>55</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Safety Data</vt:lpstr>
      <vt:lpstr>Notes On DQ and Errors</vt:lpstr>
      <vt:lpstr>Oregon Data</vt:lpstr>
      <vt:lpstr>Instructions for updating sheet</vt:lpstr>
      <vt:lpstr>'Safety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Taylor</dc:creator>
  <cp:lastModifiedBy>Nathan Taylor</cp:lastModifiedBy>
  <cp:lastPrinted>2024-02-06T23:21:28Z</cp:lastPrinted>
  <dcterms:created xsi:type="dcterms:W3CDTF">2015-06-05T18:17:20Z</dcterms:created>
  <dcterms:modified xsi:type="dcterms:W3CDTF">2024-04-29T22:33:30Z</dcterms:modified>
</cp:coreProperties>
</file>